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76" windowHeight="7656" activeTab="1"/>
  </bookViews>
  <sheets>
    <sheet name="Caso 1" sheetId="6" r:id="rId1"/>
    <sheet name="Caso 1 DEV SAC" sheetId="7" r:id="rId2"/>
    <sheet name="Caso 2 " sheetId="5" r:id="rId3"/>
    <sheet name="Caso 2 DEV SAC" sheetId="4" r:id="rId4"/>
    <sheet name="Caso 3" sheetId="8" r:id="rId5"/>
    <sheet name="Caso 3 DEV SAC" sheetId="9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9" i="8" l="1"/>
  <c r="F53" i="9"/>
  <c r="E53" i="9"/>
  <c r="D53" i="9"/>
  <c r="C53" i="9"/>
  <c r="B53" i="9"/>
  <c r="G46" i="8"/>
  <c r="M53" i="9"/>
  <c r="L53" i="9"/>
  <c r="K53" i="9"/>
  <c r="J53" i="9"/>
  <c r="I53" i="9"/>
  <c r="H53" i="9"/>
  <c r="M49" i="9"/>
  <c r="L49" i="9"/>
  <c r="K49" i="9"/>
  <c r="J49" i="9"/>
  <c r="I49" i="9"/>
  <c r="H49" i="9"/>
  <c r="F49" i="9"/>
  <c r="C49" i="9"/>
  <c r="F48" i="9"/>
  <c r="G48" i="9" s="1"/>
  <c r="G49" i="9" s="1"/>
  <c r="E48" i="9"/>
  <c r="E49" i="9" s="1"/>
  <c r="D48" i="9"/>
  <c r="D49" i="9" s="1"/>
  <c r="C48" i="9"/>
  <c r="B48" i="9"/>
  <c r="B49" i="9" s="1"/>
  <c r="M31" i="9"/>
  <c r="L31" i="9"/>
  <c r="K31" i="9"/>
  <c r="J31" i="9"/>
  <c r="I31" i="9"/>
  <c r="H31" i="9"/>
  <c r="G31" i="9"/>
  <c r="F31" i="9"/>
  <c r="E31" i="9"/>
  <c r="D31" i="9"/>
  <c r="C31" i="9"/>
  <c r="B31" i="9"/>
  <c r="E17" i="9"/>
  <c r="D17" i="9"/>
  <c r="C17" i="9"/>
  <c r="M12" i="9"/>
  <c r="L12" i="9"/>
  <c r="K12" i="9"/>
  <c r="F12" i="9"/>
  <c r="E12" i="9"/>
  <c r="D12" i="9"/>
  <c r="C12" i="9"/>
  <c r="B11" i="9"/>
  <c r="M10" i="9"/>
  <c r="L10" i="9"/>
  <c r="K10" i="9"/>
  <c r="F10" i="9"/>
  <c r="E10" i="9"/>
  <c r="D10" i="9"/>
  <c r="C10" i="9"/>
  <c r="M9" i="9"/>
  <c r="M16" i="9" s="1"/>
  <c r="L9" i="9"/>
  <c r="L16" i="9" s="1"/>
  <c r="K9" i="9"/>
  <c r="K16" i="9" s="1"/>
  <c r="J9" i="9"/>
  <c r="J16" i="9" s="1"/>
  <c r="I9" i="9"/>
  <c r="H9" i="9"/>
  <c r="G9" i="9"/>
  <c r="G11" i="9" s="1"/>
  <c r="F9" i="9"/>
  <c r="F16" i="9" s="1"/>
  <c r="E9" i="9"/>
  <c r="E16" i="9" s="1"/>
  <c r="D9" i="9"/>
  <c r="D16" i="9" s="1"/>
  <c r="C9" i="9"/>
  <c r="C16" i="9" s="1"/>
  <c r="B9" i="9"/>
  <c r="F55" i="4"/>
  <c r="E55" i="4"/>
  <c r="D55" i="4"/>
  <c r="D55" i="5"/>
  <c r="F55" i="5"/>
  <c r="E55" i="5"/>
  <c r="F55" i="8"/>
  <c r="E55" i="8"/>
  <c r="F53" i="8"/>
  <c r="D55" i="8"/>
  <c r="E53" i="8"/>
  <c r="D53" i="8"/>
  <c r="C53" i="8"/>
  <c r="B53" i="8"/>
  <c r="M53" i="8"/>
  <c r="L53" i="8"/>
  <c r="K53" i="8"/>
  <c r="J53" i="8"/>
  <c r="I53" i="8"/>
  <c r="H53" i="8"/>
  <c r="M49" i="8"/>
  <c r="L49" i="8"/>
  <c r="K49" i="8"/>
  <c r="J49" i="8"/>
  <c r="I49" i="8"/>
  <c r="H49" i="8"/>
  <c r="E49" i="8"/>
  <c r="F48" i="8"/>
  <c r="G48" i="8" s="1"/>
  <c r="E48" i="8"/>
  <c r="D48" i="8"/>
  <c r="D49" i="8" s="1"/>
  <c r="C48" i="8"/>
  <c r="C49" i="8" s="1"/>
  <c r="B48" i="8"/>
  <c r="B49" i="8" s="1"/>
  <c r="M31" i="8"/>
  <c r="L31" i="8"/>
  <c r="K31" i="8"/>
  <c r="J31" i="8"/>
  <c r="I31" i="8"/>
  <c r="H31" i="8"/>
  <c r="G31" i="8"/>
  <c r="F31" i="8"/>
  <c r="E31" i="8"/>
  <c r="D31" i="8"/>
  <c r="C31" i="8"/>
  <c r="B31" i="8"/>
  <c r="E17" i="8"/>
  <c r="M12" i="8"/>
  <c r="K12" i="8"/>
  <c r="J12" i="8"/>
  <c r="E12" i="8"/>
  <c r="M10" i="8"/>
  <c r="K10" i="8"/>
  <c r="J10" i="8"/>
  <c r="M9" i="8"/>
  <c r="M16" i="8" s="1"/>
  <c r="L9" i="8"/>
  <c r="L16" i="8" s="1"/>
  <c r="K9" i="8"/>
  <c r="K16" i="8" s="1"/>
  <c r="J9" i="8"/>
  <c r="J16" i="8" s="1"/>
  <c r="I9" i="8"/>
  <c r="H9" i="8"/>
  <c r="G9" i="8"/>
  <c r="F9" i="8"/>
  <c r="F11" i="8" s="1"/>
  <c r="E9" i="8"/>
  <c r="E16" i="8" s="1"/>
  <c r="D9" i="8"/>
  <c r="D16" i="8" s="1"/>
  <c r="C9" i="8"/>
  <c r="C16" i="8" s="1"/>
  <c r="B9" i="8"/>
  <c r="B11" i="8" s="1"/>
  <c r="B60" i="6"/>
  <c r="B59" i="6"/>
  <c r="B58" i="6"/>
  <c r="F53" i="7"/>
  <c r="C55" i="7"/>
  <c r="D55" i="7" s="1"/>
  <c r="B55" i="7"/>
  <c r="M53" i="7"/>
  <c r="L53" i="7"/>
  <c r="K53" i="7"/>
  <c r="J53" i="7"/>
  <c r="I53" i="7"/>
  <c r="H53" i="7"/>
  <c r="M49" i="7"/>
  <c r="L49" i="7"/>
  <c r="K49" i="7"/>
  <c r="J49" i="7"/>
  <c r="I49" i="7"/>
  <c r="H49" i="7"/>
  <c r="F48" i="7"/>
  <c r="F49" i="7" s="1"/>
  <c r="E48" i="7"/>
  <c r="D48" i="7"/>
  <c r="C48" i="7"/>
  <c r="B48" i="7"/>
  <c r="G46" i="7"/>
  <c r="F46" i="7"/>
  <c r="E46" i="7"/>
  <c r="E49" i="7" s="1"/>
  <c r="D46" i="7"/>
  <c r="D49" i="7" s="1"/>
  <c r="C46" i="7"/>
  <c r="C49" i="7" s="1"/>
  <c r="B46" i="7"/>
  <c r="B49" i="7" s="1"/>
  <c r="M31" i="7"/>
  <c r="L31" i="7"/>
  <c r="K31" i="7"/>
  <c r="J31" i="7"/>
  <c r="I31" i="7"/>
  <c r="H31" i="7"/>
  <c r="G31" i="7"/>
  <c r="F31" i="7"/>
  <c r="E31" i="7"/>
  <c r="D31" i="7"/>
  <c r="C31" i="7"/>
  <c r="B31" i="7"/>
  <c r="M12" i="7"/>
  <c r="M10" i="7"/>
  <c r="M9" i="7"/>
  <c r="M16" i="7" s="1"/>
  <c r="L9" i="7"/>
  <c r="K9" i="7"/>
  <c r="K10" i="7" s="1"/>
  <c r="J9" i="7"/>
  <c r="J10" i="7" s="1"/>
  <c r="I9" i="7"/>
  <c r="I16" i="7" s="1"/>
  <c r="H9" i="7"/>
  <c r="H16" i="7" s="1"/>
  <c r="D9" i="7"/>
  <c r="C9" i="7"/>
  <c r="B9" i="7"/>
  <c r="E4" i="7"/>
  <c r="F4" i="7" s="1"/>
  <c r="F55" i="6"/>
  <c r="F53" i="6"/>
  <c r="E53" i="6"/>
  <c r="F46" i="6"/>
  <c r="G46" i="6" s="1"/>
  <c r="E46" i="6"/>
  <c r="D46" i="6"/>
  <c r="C46" i="6"/>
  <c r="B46" i="6"/>
  <c r="G4" i="6"/>
  <c r="G9" i="6" s="1"/>
  <c r="G11" i="6" s="1"/>
  <c r="F4" i="6"/>
  <c r="F9" i="6" s="1"/>
  <c r="E4" i="6"/>
  <c r="M53" i="6"/>
  <c r="L53" i="6"/>
  <c r="K53" i="6"/>
  <c r="J53" i="6"/>
  <c r="I53" i="6"/>
  <c r="H53" i="6"/>
  <c r="M49" i="6"/>
  <c r="L49" i="6"/>
  <c r="K49" i="6"/>
  <c r="J49" i="6"/>
  <c r="I49" i="6"/>
  <c r="H49" i="6"/>
  <c r="F48" i="6"/>
  <c r="G48" i="6" s="1"/>
  <c r="E48" i="6"/>
  <c r="E49" i="6" s="1"/>
  <c r="D48" i="6"/>
  <c r="C48" i="6"/>
  <c r="B48" i="6"/>
  <c r="B49" i="6" s="1"/>
  <c r="M31" i="6"/>
  <c r="L31" i="6"/>
  <c r="K31" i="6"/>
  <c r="J31" i="6"/>
  <c r="I31" i="6"/>
  <c r="H31" i="6"/>
  <c r="G31" i="6"/>
  <c r="F31" i="6"/>
  <c r="E31" i="6"/>
  <c r="D31" i="6"/>
  <c r="C31" i="6"/>
  <c r="B31" i="6"/>
  <c r="M12" i="6"/>
  <c r="K12" i="6"/>
  <c r="E12" i="6"/>
  <c r="J11" i="6"/>
  <c r="M10" i="6"/>
  <c r="K10" i="6"/>
  <c r="E10" i="6"/>
  <c r="M9" i="6"/>
  <c r="M16" i="6" s="1"/>
  <c r="L9" i="6"/>
  <c r="L16" i="6" s="1"/>
  <c r="K9" i="6"/>
  <c r="K16" i="6" s="1"/>
  <c r="J9" i="6"/>
  <c r="I9" i="6"/>
  <c r="H9" i="6"/>
  <c r="E9" i="6"/>
  <c r="E16" i="6" s="1"/>
  <c r="D9" i="6"/>
  <c r="D16" i="6" s="1"/>
  <c r="C9" i="6"/>
  <c r="C16" i="6" s="1"/>
  <c r="B9" i="6"/>
  <c r="B59" i="5"/>
  <c r="F53" i="4"/>
  <c r="E53" i="4"/>
  <c r="D53" i="4"/>
  <c r="C53" i="4"/>
  <c r="B53" i="4"/>
  <c r="M49" i="5"/>
  <c r="L49" i="5"/>
  <c r="K49" i="5"/>
  <c r="J49" i="5"/>
  <c r="I49" i="5"/>
  <c r="H49" i="5"/>
  <c r="F49" i="5"/>
  <c r="E49" i="5"/>
  <c r="D49" i="5"/>
  <c r="C49" i="5"/>
  <c r="B49" i="5"/>
  <c r="G48" i="5"/>
  <c r="G49" i="5" s="1"/>
  <c r="F48" i="5"/>
  <c r="E48" i="5"/>
  <c r="D48" i="5"/>
  <c r="C48" i="5"/>
  <c r="B48" i="5"/>
  <c r="M31" i="5"/>
  <c r="L31" i="5"/>
  <c r="K31" i="5"/>
  <c r="J31" i="5"/>
  <c r="I31" i="5"/>
  <c r="H31" i="5"/>
  <c r="G31" i="5"/>
  <c r="F31" i="5"/>
  <c r="E31" i="5"/>
  <c r="D31" i="5"/>
  <c r="C31" i="5"/>
  <c r="B31" i="5"/>
  <c r="F12" i="5"/>
  <c r="M9" i="5"/>
  <c r="L9" i="5"/>
  <c r="L11" i="5" s="1"/>
  <c r="K9" i="5"/>
  <c r="K12" i="5" s="1"/>
  <c r="J9" i="5"/>
  <c r="J16" i="5" s="1"/>
  <c r="I9" i="5"/>
  <c r="I16" i="5" s="1"/>
  <c r="H9" i="5"/>
  <c r="H16" i="5" s="1"/>
  <c r="G9" i="5"/>
  <c r="G11" i="5" s="1"/>
  <c r="F9" i="5"/>
  <c r="F16" i="5" s="1"/>
  <c r="E9" i="5"/>
  <c r="D9" i="5"/>
  <c r="D16" i="5" s="1"/>
  <c r="C9" i="5"/>
  <c r="C16" i="5" s="1"/>
  <c r="B9" i="5"/>
  <c r="F17" i="5" s="1"/>
  <c r="G49" i="4"/>
  <c r="C49" i="4"/>
  <c r="D49" i="4"/>
  <c r="E49" i="4"/>
  <c r="F49" i="4"/>
  <c r="B49" i="4"/>
  <c r="C25" i="4"/>
  <c r="D25" i="4"/>
  <c r="E25" i="4"/>
  <c r="F25" i="4"/>
  <c r="G48" i="4"/>
  <c r="B48" i="4"/>
  <c r="F48" i="4"/>
  <c r="E48" i="4"/>
  <c r="D48" i="4"/>
  <c r="C48" i="4"/>
  <c r="G49" i="8" l="1"/>
  <c r="E13" i="9"/>
  <c r="E14" i="9" s="1"/>
  <c r="F13" i="9"/>
  <c r="F14" i="9" s="1"/>
  <c r="D13" i="9"/>
  <c r="D14" i="9" s="1"/>
  <c r="H11" i="9"/>
  <c r="J11" i="9"/>
  <c r="F17" i="9"/>
  <c r="B10" i="9"/>
  <c r="B13" i="9" s="1"/>
  <c r="J10" i="9"/>
  <c r="F11" i="9"/>
  <c r="B12" i="9"/>
  <c r="J12" i="9"/>
  <c r="B14" i="9"/>
  <c r="B22" i="9" s="1"/>
  <c r="B17" i="9"/>
  <c r="B16" i="9"/>
  <c r="G16" i="9"/>
  <c r="H16" i="9"/>
  <c r="I16" i="9"/>
  <c r="G10" i="9"/>
  <c r="G13" i="9" s="1"/>
  <c r="G14" i="9" s="1"/>
  <c r="C11" i="9"/>
  <c r="C13" i="9" s="1"/>
  <c r="C14" i="9" s="1"/>
  <c r="C22" i="9" s="1"/>
  <c r="K11" i="9"/>
  <c r="K13" i="9" s="1"/>
  <c r="K14" i="9" s="1"/>
  <c r="G12" i="9"/>
  <c r="H10" i="9"/>
  <c r="D11" i="9"/>
  <c r="L11" i="9"/>
  <c r="L13" i="9" s="1"/>
  <c r="L14" i="9" s="1"/>
  <c r="H12" i="9"/>
  <c r="I11" i="9"/>
  <c r="I10" i="9"/>
  <c r="I13" i="9" s="1"/>
  <c r="I14" i="9" s="1"/>
  <c r="E11" i="9"/>
  <c r="M11" i="9"/>
  <c r="M13" i="9" s="1"/>
  <c r="M14" i="9" s="1"/>
  <c r="I12" i="9"/>
  <c r="C12" i="8"/>
  <c r="C10" i="8"/>
  <c r="E10" i="8"/>
  <c r="B12" i="8"/>
  <c r="B13" i="8" s="1"/>
  <c r="B14" i="8" s="1"/>
  <c r="B22" i="8" s="1"/>
  <c r="B10" i="8"/>
  <c r="B17" i="8"/>
  <c r="M13" i="8"/>
  <c r="M14" i="8" s="1"/>
  <c r="K13" i="8"/>
  <c r="K14" i="8" s="1"/>
  <c r="F16" i="8"/>
  <c r="G11" i="8"/>
  <c r="G16" i="8"/>
  <c r="C17" i="8"/>
  <c r="F49" i="8"/>
  <c r="D10" i="8"/>
  <c r="L10" i="8"/>
  <c r="L13" i="8" s="1"/>
  <c r="H11" i="8"/>
  <c r="D12" i="8"/>
  <c r="L12" i="8"/>
  <c r="L14" i="8"/>
  <c r="H16" i="8"/>
  <c r="D17" i="8"/>
  <c r="F12" i="8"/>
  <c r="B16" i="8"/>
  <c r="G10" i="8"/>
  <c r="C11" i="8"/>
  <c r="K11" i="8"/>
  <c r="G12" i="8"/>
  <c r="I11" i="8"/>
  <c r="F10" i="8"/>
  <c r="J11" i="8"/>
  <c r="J13" i="8" s="1"/>
  <c r="J14" i="8" s="1"/>
  <c r="F17" i="8"/>
  <c r="H10" i="8"/>
  <c r="D11" i="8"/>
  <c r="L11" i="8"/>
  <c r="H12" i="8"/>
  <c r="I16" i="8"/>
  <c r="I10" i="8"/>
  <c r="I13" i="8" s="1"/>
  <c r="I14" i="8" s="1"/>
  <c r="E11" i="8"/>
  <c r="E13" i="8" s="1"/>
  <c r="E14" i="8" s="1"/>
  <c r="M11" i="8"/>
  <c r="I12" i="8"/>
  <c r="K13" i="7"/>
  <c r="K14" i="7" s="1"/>
  <c r="G4" i="7"/>
  <c r="G9" i="7" s="1"/>
  <c r="F9" i="7"/>
  <c r="E17" i="7"/>
  <c r="B11" i="7"/>
  <c r="B16" i="7"/>
  <c r="C11" i="7"/>
  <c r="C16" i="7"/>
  <c r="H10" i="7"/>
  <c r="H13" i="7" s="1"/>
  <c r="H14" i="7" s="1"/>
  <c r="D11" i="7"/>
  <c r="L11" i="7"/>
  <c r="H12" i="7"/>
  <c r="D16" i="7"/>
  <c r="L16" i="7"/>
  <c r="G48" i="7"/>
  <c r="G49" i="7" s="1"/>
  <c r="F17" i="7"/>
  <c r="K11" i="7"/>
  <c r="K16" i="7"/>
  <c r="E9" i="7"/>
  <c r="I10" i="7"/>
  <c r="I13" i="7" s="1"/>
  <c r="I14" i="7" s="1"/>
  <c r="M11" i="7"/>
  <c r="M13" i="7" s="1"/>
  <c r="M14" i="7" s="1"/>
  <c r="I12" i="7"/>
  <c r="J11" i="7"/>
  <c r="J12" i="7"/>
  <c r="J13" i="7" s="1"/>
  <c r="J14" i="7" s="1"/>
  <c r="B17" i="7"/>
  <c r="C10" i="7"/>
  <c r="C12" i="7"/>
  <c r="K12" i="7"/>
  <c r="C17" i="7"/>
  <c r="J16" i="7"/>
  <c r="B10" i="7"/>
  <c r="B13" i="7" s="1"/>
  <c r="B14" i="7" s="1"/>
  <c r="B22" i="7" s="1"/>
  <c r="B25" i="7" s="1"/>
  <c r="B12" i="7"/>
  <c r="D10" i="7"/>
  <c r="D13" i="7" s="1"/>
  <c r="D14" i="7" s="1"/>
  <c r="L10" i="7"/>
  <c r="H11" i="7"/>
  <c r="D12" i="7"/>
  <c r="L12" i="7"/>
  <c r="D17" i="7"/>
  <c r="I11" i="7"/>
  <c r="G49" i="6"/>
  <c r="C49" i="6"/>
  <c r="D49" i="6"/>
  <c r="F16" i="6"/>
  <c r="F12" i="6"/>
  <c r="F10" i="6"/>
  <c r="F13" i="6" s="1"/>
  <c r="F14" i="6" s="1"/>
  <c r="F17" i="6"/>
  <c r="C10" i="6"/>
  <c r="C12" i="6"/>
  <c r="C17" i="6"/>
  <c r="E17" i="6"/>
  <c r="M13" i="6"/>
  <c r="M14" i="6" s="1"/>
  <c r="J16" i="6"/>
  <c r="B10" i="6"/>
  <c r="B13" i="6" s="1"/>
  <c r="B14" i="6" s="1"/>
  <c r="B22" i="6" s="1"/>
  <c r="J10" i="6"/>
  <c r="J13" i="6" s="1"/>
  <c r="J14" i="6" s="1"/>
  <c r="F11" i="6"/>
  <c r="B12" i="6"/>
  <c r="J12" i="6"/>
  <c r="B17" i="6"/>
  <c r="G16" i="6"/>
  <c r="F49" i="6"/>
  <c r="D10" i="6"/>
  <c r="L10" i="6"/>
  <c r="H11" i="6"/>
  <c r="D12" i="6"/>
  <c r="L12" i="6"/>
  <c r="H16" i="6"/>
  <c r="D17" i="6"/>
  <c r="I16" i="6"/>
  <c r="B11" i="6"/>
  <c r="B16" i="6"/>
  <c r="G10" i="6"/>
  <c r="C11" i="6"/>
  <c r="C13" i="6" s="1"/>
  <c r="C14" i="6" s="1"/>
  <c r="K11" i="6"/>
  <c r="K13" i="6" s="1"/>
  <c r="K14" i="6" s="1"/>
  <c r="G12" i="6"/>
  <c r="I11" i="6"/>
  <c r="H10" i="6"/>
  <c r="D11" i="6"/>
  <c r="L11" i="6"/>
  <c r="H12" i="6"/>
  <c r="I10" i="6"/>
  <c r="I13" i="6" s="1"/>
  <c r="I14" i="6" s="1"/>
  <c r="E11" i="6"/>
  <c r="E13" i="6" s="1"/>
  <c r="E14" i="6" s="1"/>
  <c r="M11" i="6"/>
  <c r="I12" i="6"/>
  <c r="G10" i="5"/>
  <c r="H10" i="5"/>
  <c r="I10" i="5"/>
  <c r="H12" i="5"/>
  <c r="I12" i="5"/>
  <c r="G12" i="5"/>
  <c r="G13" i="5" s="1"/>
  <c r="G14" i="5" s="1"/>
  <c r="F10" i="5"/>
  <c r="F13" i="5"/>
  <c r="F14" i="5" s="1"/>
  <c r="C11" i="5"/>
  <c r="M11" i="5"/>
  <c r="B10" i="5"/>
  <c r="F11" i="5"/>
  <c r="K10" i="5"/>
  <c r="C12" i="5"/>
  <c r="G16" i="5"/>
  <c r="D10" i="5"/>
  <c r="L10" i="5"/>
  <c r="H11" i="5"/>
  <c r="H13" i="5" s="1"/>
  <c r="H14" i="5" s="1"/>
  <c r="D12" i="5"/>
  <c r="L12" i="5"/>
  <c r="D17" i="5"/>
  <c r="K11" i="5"/>
  <c r="K16" i="5"/>
  <c r="D11" i="5"/>
  <c r="L16" i="5"/>
  <c r="E11" i="5"/>
  <c r="E16" i="5"/>
  <c r="M16" i="5"/>
  <c r="J10" i="5"/>
  <c r="J13" i="5" s="1"/>
  <c r="J14" i="5" s="1"/>
  <c r="B12" i="5"/>
  <c r="J12" i="5"/>
  <c r="B17" i="5"/>
  <c r="C10" i="5"/>
  <c r="C17" i="5"/>
  <c r="E10" i="5"/>
  <c r="M10" i="5"/>
  <c r="M13" i="5" s="1"/>
  <c r="M14" i="5" s="1"/>
  <c r="I11" i="5"/>
  <c r="I13" i="5" s="1"/>
  <c r="I14" i="5" s="1"/>
  <c r="E12" i="5"/>
  <c r="M12" i="5"/>
  <c r="E17" i="5"/>
  <c r="B11" i="5"/>
  <c r="J11" i="5"/>
  <c r="B16" i="5"/>
  <c r="C16" i="4"/>
  <c r="D16" i="4"/>
  <c r="E16" i="4"/>
  <c r="F16" i="4"/>
  <c r="H16" i="4"/>
  <c r="I16" i="4"/>
  <c r="J16" i="4"/>
  <c r="K16" i="4"/>
  <c r="L16" i="4"/>
  <c r="M16" i="4"/>
  <c r="B16" i="4"/>
  <c r="M49" i="4"/>
  <c r="L49" i="4"/>
  <c r="K49" i="4"/>
  <c r="J49" i="4"/>
  <c r="I49" i="4"/>
  <c r="H49" i="4"/>
  <c r="M31" i="4"/>
  <c r="L31" i="4"/>
  <c r="K31" i="4"/>
  <c r="J31" i="4"/>
  <c r="I31" i="4"/>
  <c r="H31" i="4"/>
  <c r="G31" i="4"/>
  <c r="F31" i="4"/>
  <c r="E31" i="4"/>
  <c r="D31" i="4"/>
  <c r="C31" i="4"/>
  <c r="B31" i="4"/>
  <c r="M9" i="4"/>
  <c r="M11" i="4" s="1"/>
  <c r="L9" i="4"/>
  <c r="K9" i="4"/>
  <c r="J9" i="4"/>
  <c r="I9" i="4"/>
  <c r="H9" i="4"/>
  <c r="H11" i="4" s="1"/>
  <c r="F9" i="4"/>
  <c r="F11" i="4" s="1"/>
  <c r="E9" i="4"/>
  <c r="E11" i="4" s="1"/>
  <c r="D9" i="4"/>
  <c r="C9" i="4"/>
  <c r="B9" i="4"/>
  <c r="B17" i="4" s="1"/>
  <c r="G9" i="4"/>
  <c r="G16" i="4" s="1"/>
  <c r="L17" i="9" l="1"/>
  <c r="M17" i="9"/>
  <c r="K17" i="9"/>
  <c r="I17" i="9"/>
  <c r="C25" i="9"/>
  <c r="G17" i="9"/>
  <c r="B25" i="9"/>
  <c r="H13" i="9"/>
  <c r="H14" i="9" s="1"/>
  <c r="J13" i="9"/>
  <c r="J14" i="9" s="1"/>
  <c r="D22" i="9"/>
  <c r="E22" i="9" s="1"/>
  <c r="C13" i="8"/>
  <c r="C14" i="8" s="1"/>
  <c r="C22" i="8" s="1"/>
  <c r="C23" i="8" s="1"/>
  <c r="C25" i="8" s="1"/>
  <c r="F13" i="8"/>
  <c r="F14" i="8" s="1"/>
  <c r="J17" i="8"/>
  <c r="I17" i="8"/>
  <c r="M17" i="8"/>
  <c r="D13" i="8"/>
  <c r="D14" i="8" s="1"/>
  <c r="B23" i="8"/>
  <c r="B25" i="8" s="1"/>
  <c r="L17" i="8"/>
  <c r="K17" i="8"/>
  <c r="H13" i="8"/>
  <c r="H14" i="8" s="1"/>
  <c r="G13" i="8"/>
  <c r="G14" i="8" s="1"/>
  <c r="G17" i="8" s="1"/>
  <c r="J17" i="7"/>
  <c r="I17" i="7"/>
  <c r="M17" i="7"/>
  <c r="B32" i="7"/>
  <c r="D22" i="7"/>
  <c r="D25" i="7" s="1"/>
  <c r="H17" i="7"/>
  <c r="K17" i="7"/>
  <c r="L13" i="7"/>
  <c r="L14" i="7" s="1"/>
  <c r="C13" i="7"/>
  <c r="C14" i="7" s="1"/>
  <c r="C22" i="7" s="1"/>
  <c r="C25" i="7" s="1"/>
  <c r="F16" i="7"/>
  <c r="F10" i="7"/>
  <c r="F13" i="7" s="1"/>
  <c r="F14" i="7" s="1"/>
  <c r="F11" i="7"/>
  <c r="F12" i="7"/>
  <c r="E12" i="7"/>
  <c r="E10" i="7"/>
  <c r="E16" i="7"/>
  <c r="E11" i="7"/>
  <c r="G16" i="7"/>
  <c r="G11" i="7"/>
  <c r="G12" i="7"/>
  <c r="G10" i="7"/>
  <c r="D13" i="6"/>
  <c r="D14" i="6" s="1"/>
  <c r="I17" i="6"/>
  <c r="J17" i="6"/>
  <c r="B25" i="6"/>
  <c r="K17" i="6"/>
  <c r="G13" i="6"/>
  <c r="G14" i="6" s="1"/>
  <c r="M17" i="6"/>
  <c r="H13" i="6"/>
  <c r="H14" i="6" s="1"/>
  <c r="L13" i="6"/>
  <c r="L14" i="6" s="1"/>
  <c r="C22" i="6"/>
  <c r="E13" i="5"/>
  <c r="E14" i="5" s="1"/>
  <c r="D13" i="5"/>
  <c r="D14" i="5" s="1"/>
  <c r="J17" i="5"/>
  <c r="M17" i="5"/>
  <c r="I17" i="5"/>
  <c r="C13" i="5"/>
  <c r="C14" i="5" s="1"/>
  <c r="K13" i="5"/>
  <c r="K14" i="5" s="1"/>
  <c r="B13" i="5"/>
  <c r="B14" i="5" s="1"/>
  <c r="B22" i="5" s="1"/>
  <c r="G17" i="5"/>
  <c r="H17" i="5"/>
  <c r="L13" i="5"/>
  <c r="L14" i="5" s="1"/>
  <c r="M12" i="4"/>
  <c r="M10" i="4"/>
  <c r="M13" i="4" s="1"/>
  <c r="M14" i="4" s="1"/>
  <c r="C17" i="4"/>
  <c r="E17" i="4"/>
  <c r="D17" i="4"/>
  <c r="F17" i="4"/>
  <c r="E12" i="4"/>
  <c r="E10" i="4"/>
  <c r="E13" i="4" s="1"/>
  <c r="E14" i="4" s="1"/>
  <c r="M17" i="4"/>
  <c r="G11" i="4"/>
  <c r="G12" i="4"/>
  <c r="G10" i="4"/>
  <c r="F10" i="4"/>
  <c r="B11" i="4"/>
  <c r="J11" i="4"/>
  <c r="F12" i="4"/>
  <c r="C11" i="4"/>
  <c r="K11" i="4"/>
  <c r="I11" i="4"/>
  <c r="H10" i="4"/>
  <c r="D11" i="4"/>
  <c r="L11" i="4"/>
  <c r="H12" i="4"/>
  <c r="I10" i="4"/>
  <c r="I12" i="4"/>
  <c r="B10" i="4"/>
  <c r="J10" i="4"/>
  <c r="B12" i="4"/>
  <c r="J12" i="4"/>
  <c r="C10" i="4"/>
  <c r="K10" i="4"/>
  <c r="C12" i="4"/>
  <c r="K12" i="4"/>
  <c r="D10" i="4"/>
  <c r="L10" i="4"/>
  <c r="D12" i="4"/>
  <c r="L12" i="4"/>
  <c r="B32" i="9" l="1"/>
  <c r="C32" i="9"/>
  <c r="E25" i="9"/>
  <c r="F22" i="9"/>
  <c r="H17" i="9"/>
  <c r="J17" i="9"/>
  <c r="D25" i="9"/>
  <c r="D22" i="8"/>
  <c r="E22" i="8" s="1"/>
  <c r="F22" i="8" s="1"/>
  <c r="F23" i="8" s="1"/>
  <c r="F25" i="8" s="1"/>
  <c r="C32" i="8"/>
  <c r="B32" i="8"/>
  <c r="D23" i="8"/>
  <c r="D25" i="8" s="1"/>
  <c r="H17" i="8"/>
  <c r="G22" i="8"/>
  <c r="G25" i="8" s="1"/>
  <c r="G17" i="7"/>
  <c r="D32" i="7"/>
  <c r="B38" i="7"/>
  <c r="B34" i="7"/>
  <c r="B36" i="7"/>
  <c r="E13" i="7"/>
  <c r="E14" i="7" s="1"/>
  <c r="E22" i="7" s="1"/>
  <c r="E25" i="7" s="1"/>
  <c r="C32" i="7"/>
  <c r="G13" i="7"/>
  <c r="G14" i="7" s="1"/>
  <c r="L17" i="7"/>
  <c r="D22" i="6"/>
  <c r="E22" i="6" s="1"/>
  <c r="E25" i="6" s="1"/>
  <c r="B32" i="6"/>
  <c r="L17" i="6"/>
  <c r="H17" i="6"/>
  <c r="G17" i="6"/>
  <c r="C25" i="6"/>
  <c r="K17" i="5"/>
  <c r="B23" i="5"/>
  <c r="B25" i="5" s="1"/>
  <c r="C22" i="5"/>
  <c r="L17" i="5"/>
  <c r="J13" i="4"/>
  <c r="J14" i="4" s="1"/>
  <c r="H13" i="4"/>
  <c r="H14" i="4" s="1"/>
  <c r="F13" i="4"/>
  <c r="F14" i="4" s="1"/>
  <c r="D13" i="4"/>
  <c r="D14" i="4" s="1"/>
  <c r="B13" i="4"/>
  <c r="B14" i="4" s="1"/>
  <c r="B22" i="4" s="1"/>
  <c r="B25" i="4" s="1"/>
  <c r="J17" i="4"/>
  <c r="H17" i="4"/>
  <c r="K13" i="4"/>
  <c r="K14" i="4" s="1"/>
  <c r="G13" i="4"/>
  <c r="G14" i="4" s="1"/>
  <c r="I13" i="4"/>
  <c r="I14" i="4" s="1"/>
  <c r="C13" i="4"/>
  <c r="C14" i="4" s="1"/>
  <c r="L13" i="4"/>
  <c r="L14" i="4" s="1"/>
  <c r="D32" i="9" l="1"/>
  <c r="B38" i="9"/>
  <c r="B34" i="9"/>
  <c r="B36" i="9"/>
  <c r="F25" i="9"/>
  <c r="G22" i="9"/>
  <c r="E32" i="9"/>
  <c r="C36" i="9"/>
  <c r="C38" i="9"/>
  <c r="C34" i="9"/>
  <c r="E23" i="8"/>
  <c r="E25" i="8" s="1"/>
  <c r="F32" i="8"/>
  <c r="E32" i="8"/>
  <c r="G32" i="8"/>
  <c r="B38" i="8"/>
  <c r="B34" i="8"/>
  <c r="B36" i="8"/>
  <c r="D32" i="8"/>
  <c r="C36" i="8"/>
  <c r="C38" i="8"/>
  <c r="C34" i="8"/>
  <c r="H22" i="8"/>
  <c r="F22" i="7"/>
  <c r="B39" i="7"/>
  <c r="B51" i="7" s="1"/>
  <c r="E32" i="7"/>
  <c r="D36" i="7"/>
  <c r="D38" i="7"/>
  <c r="D34" i="7"/>
  <c r="D39" i="7" s="1"/>
  <c r="D51" i="7" s="1"/>
  <c r="C36" i="7"/>
  <c r="C38" i="7"/>
  <c r="C34" i="7"/>
  <c r="D25" i="6"/>
  <c r="D32" i="6" s="1"/>
  <c r="F22" i="6"/>
  <c r="F23" i="6" s="1"/>
  <c r="F25" i="6" s="1"/>
  <c r="C32" i="6"/>
  <c r="E32" i="6"/>
  <c r="B38" i="6"/>
  <c r="B34" i="6"/>
  <c r="B36" i="6"/>
  <c r="B32" i="5"/>
  <c r="C23" i="5"/>
  <c r="C25" i="5" s="1"/>
  <c r="D22" i="5"/>
  <c r="G17" i="4"/>
  <c r="I17" i="4"/>
  <c r="K17" i="4"/>
  <c r="L17" i="4"/>
  <c r="B32" i="4"/>
  <c r="C22" i="4"/>
  <c r="C39" i="9" l="1"/>
  <c r="C51" i="9" s="1"/>
  <c r="F32" i="9"/>
  <c r="E38" i="9"/>
  <c r="E36" i="9"/>
  <c r="E34" i="9"/>
  <c r="E39" i="9" s="1"/>
  <c r="E51" i="9" s="1"/>
  <c r="D38" i="9"/>
  <c r="D36" i="9"/>
  <c r="D34" i="9"/>
  <c r="D39" i="9" s="1"/>
  <c r="D51" i="9" s="1"/>
  <c r="G25" i="9"/>
  <c r="H22" i="9"/>
  <c r="B39" i="9"/>
  <c r="B51" i="9" s="1"/>
  <c r="B55" i="9" s="1"/>
  <c r="C55" i="9" s="1"/>
  <c r="F36" i="8"/>
  <c r="F38" i="8"/>
  <c r="F34" i="8"/>
  <c r="B39" i="8"/>
  <c r="B51" i="8" s="1"/>
  <c r="B55" i="8" s="1"/>
  <c r="H23" i="8"/>
  <c r="H25" i="8"/>
  <c r="I22" i="8"/>
  <c r="C39" i="8"/>
  <c r="C51" i="8" s="1"/>
  <c r="G38" i="8"/>
  <c r="G34" i="8"/>
  <c r="G36" i="8"/>
  <c r="D36" i="8"/>
  <c r="D38" i="8"/>
  <c r="D34" i="8"/>
  <c r="E36" i="8"/>
  <c r="E38" i="8"/>
  <c r="E34" i="8"/>
  <c r="F25" i="7"/>
  <c r="G22" i="7"/>
  <c r="C39" i="7"/>
  <c r="C51" i="7" s="1"/>
  <c r="E36" i="7"/>
  <c r="E38" i="7"/>
  <c r="E34" i="7"/>
  <c r="G22" i="6"/>
  <c r="H22" i="6" s="1"/>
  <c r="F32" i="6"/>
  <c r="E36" i="6"/>
  <c r="E38" i="6"/>
  <c r="E34" i="6"/>
  <c r="E39" i="6" s="1"/>
  <c r="E51" i="6" s="1"/>
  <c r="D36" i="6"/>
  <c r="D38" i="6"/>
  <c r="D34" i="6"/>
  <c r="B39" i="6"/>
  <c r="B51" i="6" s="1"/>
  <c r="B55" i="6" s="1"/>
  <c r="G25" i="6"/>
  <c r="C36" i="6"/>
  <c r="C38" i="6"/>
  <c r="C34" i="6"/>
  <c r="C32" i="5"/>
  <c r="D23" i="5"/>
  <c r="D25" i="5"/>
  <c r="E22" i="5"/>
  <c r="B36" i="5"/>
  <c r="B38" i="5"/>
  <c r="B34" i="5"/>
  <c r="B39" i="5" s="1"/>
  <c r="B51" i="5" s="1"/>
  <c r="B53" i="5" s="1"/>
  <c r="B55" i="5" s="1"/>
  <c r="D22" i="4"/>
  <c r="B38" i="4"/>
  <c r="B34" i="4"/>
  <c r="B36" i="4"/>
  <c r="G32" i="9" l="1"/>
  <c r="F36" i="9"/>
  <c r="F38" i="9"/>
  <c r="F34" i="9"/>
  <c r="D55" i="9"/>
  <c r="E55" i="9" s="1"/>
  <c r="H23" i="9"/>
  <c r="H25" i="9"/>
  <c r="I22" i="9"/>
  <c r="C55" i="8"/>
  <c r="G39" i="8"/>
  <c r="G51" i="8" s="1"/>
  <c r="E39" i="8"/>
  <c r="E51" i="8" s="1"/>
  <c r="I23" i="8"/>
  <c r="I25" i="8"/>
  <c r="J22" i="8"/>
  <c r="D39" i="8"/>
  <c r="D51" i="8" s="1"/>
  <c r="H32" i="8"/>
  <c r="F39" i="8"/>
  <c r="F51" i="8" s="1"/>
  <c r="F32" i="7"/>
  <c r="E39" i="7"/>
  <c r="E51" i="7" s="1"/>
  <c r="E53" i="7" s="1"/>
  <c r="E55" i="7" s="1"/>
  <c r="G25" i="7"/>
  <c r="H22" i="7"/>
  <c r="C39" i="6"/>
  <c r="C51" i="6" s="1"/>
  <c r="C55" i="6" s="1"/>
  <c r="D39" i="6"/>
  <c r="D51" i="6" s="1"/>
  <c r="H23" i="6"/>
  <c r="H25" i="6"/>
  <c r="I22" i="6"/>
  <c r="G32" i="6"/>
  <c r="F36" i="6"/>
  <c r="F38" i="6"/>
  <c r="F34" i="6"/>
  <c r="E23" i="5"/>
  <c r="E25" i="5" s="1"/>
  <c r="F22" i="5"/>
  <c r="D32" i="5"/>
  <c r="C36" i="5"/>
  <c r="C34" i="5"/>
  <c r="C39" i="5" s="1"/>
  <c r="C51" i="5" s="1"/>
  <c r="C53" i="5" s="1"/>
  <c r="C55" i="5" s="1"/>
  <c r="C38" i="5"/>
  <c r="B39" i="4"/>
  <c r="B51" i="4" s="1"/>
  <c r="B55" i="4" s="1"/>
  <c r="E22" i="4"/>
  <c r="C32" i="4"/>
  <c r="F39" i="9" l="1"/>
  <c r="F51" i="9" s="1"/>
  <c r="I23" i="9"/>
  <c r="I25" i="9"/>
  <c r="J22" i="9"/>
  <c r="H32" i="9"/>
  <c r="F55" i="9"/>
  <c r="G38" i="9"/>
  <c r="G34" i="9"/>
  <c r="G36" i="9"/>
  <c r="B58" i="8"/>
  <c r="B60" i="8" s="1"/>
  <c r="H38" i="8"/>
  <c r="H34" i="8"/>
  <c r="H36" i="8"/>
  <c r="J23" i="8"/>
  <c r="J25" i="8"/>
  <c r="K22" i="8"/>
  <c r="I32" i="8"/>
  <c r="F36" i="7"/>
  <c r="F38" i="7"/>
  <c r="F34" i="7"/>
  <c r="G32" i="7"/>
  <c r="H23" i="7"/>
  <c r="H25" i="7"/>
  <c r="I22" i="7"/>
  <c r="D55" i="6"/>
  <c r="E55" i="6" s="1"/>
  <c r="G36" i="6"/>
  <c r="G38" i="6"/>
  <c r="G34" i="6"/>
  <c r="I23" i="6"/>
  <c r="I25" i="6"/>
  <c r="J22" i="6"/>
  <c r="H32" i="6"/>
  <c r="F39" i="6"/>
  <c r="F51" i="6" s="1"/>
  <c r="D38" i="5"/>
  <c r="D34" i="5"/>
  <c r="D36" i="5"/>
  <c r="E32" i="5"/>
  <c r="F23" i="5"/>
  <c r="F25" i="5"/>
  <c r="G22" i="5"/>
  <c r="F22" i="4"/>
  <c r="C38" i="4"/>
  <c r="C34" i="4"/>
  <c r="C36" i="4"/>
  <c r="D32" i="4"/>
  <c r="G39" i="9" l="1"/>
  <c r="G51" i="9" s="1"/>
  <c r="I32" i="9"/>
  <c r="H38" i="9"/>
  <c r="H34" i="9"/>
  <c r="H36" i="9"/>
  <c r="J23" i="9"/>
  <c r="J25" i="9"/>
  <c r="K22" i="9"/>
  <c r="J32" i="8"/>
  <c r="H39" i="8"/>
  <c r="H51" i="8" s="1"/>
  <c r="K25" i="8"/>
  <c r="K23" i="8"/>
  <c r="L22" i="8"/>
  <c r="I38" i="8"/>
  <c r="I34" i="8"/>
  <c r="I36" i="8"/>
  <c r="I23" i="7"/>
  <c r="I25" i="7"/>
  <c r="J22" i="7"/>
  <c r="H32" i="7"/>
  <c r="G38" i="7"/>
  <c r="G34" i="7"/>
  <c r="G36" i="7"/>
  <c r="F39" i="7"/>
  <c r="F51" i="7" s="1"/>
  <c r="F55" i="7" s="1"/>
  <c r="H38" i="6"/>
  <c r="H34" i="6"/>
  <c r="H36" i="6"/>
  <c r="J23" i="6"/>
  <c r="J25" i="6"/>
  <c r="K22" i="6"/>
  <c r="I32" i="6"/>
  <c r="G39" i="6"/>
  <c r="G51" i="6" s="1"/>
  <c r="D39" i="5"/>
  <c r="D51" i="5" s="1"/>
  <c r="D53" i="5" s="1"/>
  <c r="G25" i="5"/>
  <c r="H22" i="5"/>
  <c r="F32" i="5"/>
  <c r="E36" i="5"/>
  <c r="E38" i="5"/>
  <c r="E34" i="5"/>
  <c r="E39" i="5" s="1"/>
  <c r="E51" i="5" s="1"/>
  <c r="E53" i="5" s="1"/>
  <c r="C39" i="4"/>
  <c r="D38" i="4"/>
  <c r="D34" i="4"/>
  <c r="D36" i="4"/>
  <c r="G22" i="4"/>
  <c r="G25" i="4" s="1"/>
  <c r="E32" i="4"/>
  <c r="K25" i="9" l="1"/>
  <c r="K23" i="9"/>
  <c r="L22" i="9"/>
  <c r="J32" i="9"/>
  <c r="I38" i="9"/>
  <c r="I34" i="9"/>
  <c r="I39" i="9" s="1"/>
  <c r="I51" i="9" s="1"/>
  <c r="I36" i="9"/>
  <c r="H39" i="9"/>
  <c r="H51" i="9" s="1"/>
  <c r="I39" i="8"/>
  <c r="I51" i="8" s="1"/>
  <c r="J38" i="8"/>
  <c r="J34" i="8"/>
  <c r="J36" i="8"/>
  <c r="K32" i="8"/>
  <c r="L25" i="8"/>
  <c r="L23" i="8"/>
  <c r="M22" i="8"/>
  <c r="G39" i="7"/>
  <c r="G51" i="7" s="1"/>
  <c r="H38" i="7"/>
  <c r="H34" i="7"/>
  <c r="H36" i="7"/>
  <c r="J23" i="7"/>
  <c r="J25" i="7"/>
  <c r="K22" i="7"/>
  <c r="I32" i="7"/>
  <c r="K25" i="6"/>
  <c r="K23" i="6"/>
  <c r="L22" i="6"/>
  <c r="J32" i="6"/>
  <c r="H39" i="6"/>
  <c r="H51" i="6" s="1"/>
  <c r="I38" i="6"/>
  <c r="I34" i="6"/>
  <c r="I36" i="6"/>
  <c r="F38" i="5"/>
  <c r="F34" i="5"/>
  <c r="F36" i="5"/>
  <c r="H25" i="5"/>
  <c r="H23" i="5"/>
  <c r="I22" i="5"/>
  <c r="G32" i="5"/>
  <c r="C55" i="4"/>
  <c r="C51" i="4"/>
  <c r="E38" i="4"/>
  <c r="E34" i="4"/>
  <c r="E36" i="4"/>
  <c r="D39" i="4"/>
  <c r="D51" i="4" s="1"/>
  <c r="H22" i="4"/>
  <c r="F32" i="4"/>
  <c r="K32" i="9" l="1"/>
  <c r="J38" i="9"/>
  <c r="J34" i="9"/>
  <c r="J39" i="9" s="1"/>
  <c r="J51" i="9" s="1"/>
  <c r="J36" i="9"/>
  <c r="L25" i="9"/>
  <c r="L23" i="9"/>
  <c r="M22" i="9"/>
  <c r="J39" i="8"/>
  <c r="J51" i="8" s="1"/>
  <c r="M25" i="8"/>
  <c r="M23" i="8"/>
  <c r="L32" i="8"/>
  <c r="K36" i="8"/>
  <c r="K38" i="8"/>
  <c r="K34" i="8"/>
  <c r="K39" i="8" s="1"/>
  <c r="K51" i="8" s="1"/>
  <c r="K25" i="7"/>
  <c r="K23" i="7"/>
  <c r="L22" i="7"/>
  <c r="I38" i="7"/>
  <c r="I34" i="7"/>
  <c r="I39" i="7" s="1"/>
  <c r="I51" i="7" s="1"/>
  <c r="I36" i="7"/>
  <c r="J32" i="7"/>
  <c r="H39" i="7"/>
  <c r="H51" i="7" s="1"/>
  <c r="I39" i="6"/>
  <c r="I51" i="6" s="1"/>
  <c r="J38" i="6"/>
  <c r="J34" i="6"/>
  <c r="J36" i="6"/>
  <c r="L25" i="6"/>
  <c r="L23" i="6"/>
  <c r="M22" i="6"/>
  <c r="K32" i="6"/>
  <c r="I25" i="5"/>
  <c r="I23" i="5"/>
  <c r="J22" i="5"/>
  <c r="G38" i="5"/>
  <c r="G34" i="5"/>
  <c r="G36" i="5"/>
  <c r="H32" i="5"/>
  <c r="F39" i="5"/>
  <c r="F51" i="5" s="1"/>
  <c r="F53" i="5" s="1"/>
  <c r="F34" i="4"/>
  <c r="F38" i="4"/>
  <c r="F36" i="4"/>
  <c r="H25" i="4"/>
  <c r="H23" i="4"/>
  <c r="I22" i="4"/>
  <c r="G32" i="4"/>
  <c r="E39" i="4"/>
  <c r="E51" i="4" s="1"/>
  <c r="M23" i="9" l="1"/>
  <c r="M25" i="9"/>
  <c r="K36" i="9"/>
  <c r="K38" i="9"/>
  <c r="K34" i="9"/>
  <c r="L32" i="9"/>
  <c r="M32" i="8"/>
  <c r="L36" i="8"/>
  <c r="L38" i="8"/>
  <c r="L34" i="8"/>
  <c r="L39" i="8" s="1"/>
  <c r="L51" i="8" s="1"/>
  <c r="J38" i="7"/>
  <c r="J34" i="7"/>
  <c r="J36" i="7"/>
  <c r="L25" i="7"/>
  <c r="L23" i="7"/>
  <c r="M22" i="7"/>
  <c r="K32" i="7"/>
  <c r="J39" i="6"/>
  <c r="J51" i="6" s="1"/>
  <c r="K36" i="6"/>
  <c r="K38" i="6"/>
  <c r="K34" i="6"/>
  <c r="M25" i="6"/>
  <c r="M23" i="6"/>
  <c r="L32" i="6"/>
  <c r="B58" i="5"/>
  <c r="B60" i="5" s="1"/>
  <c r="H38" i="5"/>
  <c r="H36" i="5"/>
  <c r="H34" i="5"/>
  <c r="G39" i="5"/>
  <c r="G51" i="5" s="1"/>
  <c r="J25" i="5"/>
  <c r="J23" i="5"/>
  <c r="K22" i="5"/>
  <c r="I32" i="5"/>
  <c r="I25" i="4"/>
  <c r="I23" i="4"/>
  <c r="J22" i="4"/>
  <c r="G36" i="4"/>
  <c r="G38" i="4"/>
  <c r="G34" i="4"/>
  <c r="H32" i="4"/>
  <c r="F39" i="4"/>
  <c r="F51" i="4" s="1"/>
  <c r="M32" i="9" l="1"/>
  <c r="L38" i="9"/>
  <c r="L34" i="9"/>
  <c r="L39" i="9" s="1"/>
  <c r="L51" i="9" s="1"/>
  <c r="L36" i="9"/>
  <c r="K39" i="9"/>
  <c r="K51" i="9" s="1"/>
  <c r="M36" i="8"/>
  <c r="M38" i="8"/>
  <c r="M34" i="8"/>
  <c r="K36" i="7"/>
  <c r="K34" i="7"/>
  <c r="K38" i="7"/>
  <c r="M25" i="7"/>
  <c r="M23" i="7"/>
  <c r="L32" i="7"/>
  <c r="J39" i="7"/>
  <c r="J51" i="7" s="1"/>
  <c r="L36" i="6"/>
  <c r="L38" i="6"/>
  <c r="L34" i="6"/>
  <c r="M32" i="6"/>
  <c r="K39" i="6"/>
  <c r="K51" i="6" s="1"/>
  <c r="H39" i="5"/>
  <c r="H51" i="5" s="1"/>
  <c r="K25" i="5"/>
  <c r="K23" i="5"/>
  <c r="L22" i="5"/>
  <c r="J32" i="5"/>
  <c r="I38" i="5"/>
  <c r="I34" i="5"/>
  <c r="I36" i="5"/>
  <c r="G39" i="4"/>
  <c r="G51" i="4" s="1"/>
  <c r="J23" i="4"/>
  <c r="J25" i="4"/>
  <c r="K22" i="4"/>
  <c r="H36" i="4"/>
  <c r="H38" i="4"/>
  <c r="H34" i="4"/>
  <c r="I32" i="4"/>
  <c r="M36" i="9" l="1"/>
  <c r="M38" i="9"/>
  <c r="M34" i="9"/>
  <c r="M39" i="9" s="1"/>
  <c r="M51" i="9" s="1"/>
  <c r="M39" i="8"/>
  <c r="M51" i="8" s="1"/>
  <c r="L36" i="7"/>
  <c r="L38" i="7"/>
  <c r="L34" i="7"/>
  <c r="M32" i="7"/>
  <c r="K39" i="7"/>
  <c r="K51" i="7" s="1"/>
  <c r="L39" i="6"/>
  <c r="L51" i="6" s="1"/>
  <c r="M36" i="6"/>
  <c r="M38" i="6"/>
  <c r="M34" i="6"/>
  <c r="I39" i="5"/>
  <c r="I51" i="5" s="1"/>
  <c r="J36" i="5"/>
  <c r="J38" i="5"/>
  <c r="J34" i="5"/>
  <c r="L25" i="5"/>
  <c r="L23" i="5"/>
  <c r="M22" i="5"/>
  <c r="K32" i="5"/>
  <c r="H39" i="4"/>
  <c r="H51" i="4" s="1"/>
  <c r="K23" i="4"/>
  <c r="K25" i="4"/>
  <c r="L22" i="4"/>
  <c r="J32" i="4"/>
  <c r="I36" i="4"/>
  <c r="I38" i="4"/>
  <c r="I34" i="4"/>
  <c r="M36" i="7" l="1"/>
  <c r="M38" i="7"/>
  <c r="M34" i="7"/>
  <c r="M39" i="7" s="1"/>
  <c r="M51" i="7" s="1"/>
  <c r="L39" i="7"/>
  <c r="L51" i="7" s="1"/>
  <c r="M39" i="6"/>
  <c r="M51" i="6" s="1"/>
  <c r="M25" i="5"/>
  <c r="M23" i="5"/>
  <c r="K36" i="5"/>
  <c r="K38" i="5"/>
  <c r="K34" i="5"/>
  <c r="K39" i="5" s="1"/>
  <c r="K51" i="5" s="1"/>
  <c r="J39" i="5"/>
  <c r="J51" i="5" s="1"/>
  <c r="L32" i="5"/>
  <c r="I39" i="4"/>
  <c r="I51" i="4" s="1"/>
  <c r="J38" i="4"/>
  <c r="J34" i="4"/>
  <c r="J36" i="4"/>
  <c r="K32" i="4"/>
  <c r="L23" i="4"/>
  <c r="L25" i="4"/>
  <c r="M22" i="4"/>
  <c r="L38" i="5" l="1"/>
  <c r="L34" i="5"/>
  <c r="L36" i="5"/>
  <c r="M32" i="5"/>
  <c r="L32" i="4"/>
  <c r="J39" i="4"/>
  <c r="J51" i="4" s="1"/>
  <c r="M23" i="4"/>
  <c r="M25" i="4"/>
  <c r="K38" i="4"/>
  <c r="K34" i="4"/>
  <c r="K36" i="4"/>
  <c r="L39" i="5" l="1"/>
  <c r="L51" i="5" s="1"/>
  <c r="M38" i="5"/>
  <c r="M34" i="5"/>
  <c r="M36" i="5"/>
  <c r="K39" i="4"/>
  <c r="K51" i="4" s="1"/>
  <c r="M32" i="4"/>
  <c r="L38" i="4"/>
  <c r="L34" i="4"/>
  <c r="L36" i="4"/>
  <c r="M39" i="5" l="1"/>
  <c r="M51" i="5" s="1"/>
  <c r="H53" i="5"/>
  <c r="H53" i="4"/>
  <c r="L39" i="4"/>
  <c r="L51" i="4" s="1"/>
  <c r="M38" i="4"/>
  <c r="M34" i="4"/>
  <c r="M36" i="4"/>
  <c r="I53" i="5" l="1"/>
  <c r="I53" i="4"/>
  <c r="M39" i="4"/>
  <c r="M51" i="4" s="1"/>
  <c r="J53" i="5" l="1"/>
  <c r="J53" i="4"/>
  <c r="K53" i="5" l="1"/>
  <c r="K53" i="4"/>
  <c r="L53" i="5" l="1"/>
  <c r="L53" i="4"/>
  <c r="M53" i="5"/>
  <c r="M53" i="4"/>
</calcChain>
</file>

<file path=xl/sharedStrings.xml><?xml version="1.0" encoding="utf-8"?>
<sst xmlns="http://schemas.openxmlformats.org/spreadsheetml/2006/main" count="423" uniqueCount="59">
  <si>
    <t>LIQUIDACIÓN  SUELDO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</si>
  <si>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</si>
  <si>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</si>
  <si>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</si>
  <si>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</si>
  <si>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</si>
  <si>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</si>
  <si>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</si>
  <si>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</si>
  <si>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</si>
  <si>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</si>
  <si>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</si>
  <si>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</si>
  <si>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Sueldo bruto</t>
  </si>
  <si>
    <t>Antigüedad</t>
  </si>
  <si>
    <t>SAC</t>
  </si>
  <si>
    <t>Plus Vacacional</t>
  </si>
  <si>
    <t>Jubilación</t>
  </si>
  <si>
    <t>Obra Social</t>
  </si>
  <si>
    <t>Ley 19.032</t>
  </si>
  <si>
    <t>Total deducciones</t>
  </si>
  <si>
    <t>Sueldo Neto</t>
  </si>
  <si>
    <t>LIQUIDACION IMPUESTO A LAS GANANCIAS</t>
  </si>
  <si>
    <t>Sueldo Liquidado</t>
  </si>
  <si>
    <t>Remuneración Neta</t>
  </si>
  <si>
    <t>Intereses de préstamos hipotecarios</t>
  </si>
  <si>
    <t>Seguro de Vida</t>
  </si>
  <si>
    <t>Personal de casas particulares</t>
  </si>
  <si>
    <t>Material didáctico</t>
  </si>
  <si>
    <t>Viáticos</t>
  </si>
  <si>
    <t>Subtotal deducciones generales</t>
  </si>
  <si>
    <t>Resultado antes de la medicina prepaga</t>
  </si>
  <si>
    <t>Medicina Prepaga (Valor declarado)</t>
  </si>
  <si>
    <t>Tope 5% Medicina Prepaga</t>
  </si>
  <si>
    <t>Gastos Médicos (Valor declarado)</t>
  </si>
  <si>
    <t>Tope 5% Gastos Medicos</t>
  </si>
  <si>
    <t>Donaciones (Valor declarado)</t>
  </si>
  <si>
    <t>Tope 5% Donaciones</t>
  </si>
  <si>
    <t>Total deducciones generales</t>
  </si>
  <si>
    <t>Mínimo no Imponible</t>
  </si>
  <si>
    <t>Cónyuge</t>
  </si>
  <si>
    <t>Hijo</t>
  </si>
  <si>
    <t xml:space="preserve">Deducción Especial Incrementada </t>
  </si>
  <si>
    <t>Total deducciones personales</t>
  </si>
  <si>
    <t>Base imponible</t>
  </si>
  <si>
    <t>Impuesto Determinado</t>
  </si>
  <si>
    <t xml:space="preserve">SAC Proporcional </t>
  </si>
  <si>
    <t xml:space="preserve">Comisiones </t>
  </si>
  <si>
    <t>DEA 1° Párrafo</t>
  </si>
  <si>
    <t>DEA 2° Párrafo</t>
  </si>
  <si>
    <t>Total Remuneraciones brutas</t>
  </si>
  <si>
    <t>Promedio Mensual Remuneraciones</t>
  </si>
  <si>
    <t xml:space="preserve">Remuneración Bruta Mensual </t>
  </si>
  <si>
    <t>DEA 1° Párrafo Acumulada</t>
  </si>
  <si>
    <t>DEA 2° Párrafo Acumulada</t>
  </si>
  <si>
    <t>Retención Mensual</t>
  </si>
  <si>
    <t>IMPUESTO RETENIDO</t>
  </si>
  <si>
    <t>EXENCIÓN SAC</t>
  </si>
  <si>
    <t>IMPORTE A RESTITUIR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</si>
</sst>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8E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4" fontId="1" fillId="2" borderId="1" xfId="0" applyNumberFormat="1" applyFont="1" applyFill="1" applyBorder="1" applyProtection="1"/>
    <xf numFmtId="0" fontId="0" fillId="0" borderId="0" xfId="0" applyProtection="1"/>
    <xf numFmtId="4" fontId="1" fillId="2" borderId="1" xfId="0" applyNumberFormat="1" applyFont="1" applyFill="1" applyBorder="1" applyAlignment="1" applyProtection="1">
      <alignment horizontal="center"/>
    </xf>
    <xf numFmtId="0" fontId="2" fillId="0" borderId="0" xfId="0" applyFont="1" applyProtection="1"/>
    <xf numFmtId="4" fontId="0" fillId="0" borderId="0" xfId="0" applyNumberFormat="1" applyProtection="1"/>
    <xf numFmtId="0" fontId="1" fillId="2" borderId="1" xfId="0" applyFont="1" applyFill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4" fontId="3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1" xfId="0" applyBorder="1" applyProtection="1"/>
    <xf numFmtId="4" fontId="0" fillId="0" borderId="1" xfId="0" applyNumberFormat="1" applyBorder="1" applyProtection="1"/>
    <xf numFmtId="0" fontId="0" fillId="0" borderId="1" xfId="0" applyFill="1" applyBorder="1" applyProtection="1"/>
    <xf numFmtId="0" fontId="0" fillId="0" borderId="0" xfId="0" applyAlignment="1" applyProtection="1">
      <alignment horizontal="left"/>
    </xf>
    <xf numFmtId="4" fontId="4" fillId="0" borderId="1" xfId="0" applyNumberFormat="1" applyFont="1" applyBorder="1" applyProtection="1"/>
    <xf numFmtId="4" fontId="2" fillId="0" borderId="0" xfId="0" applyNumberFormat="1" applyFont="1" applyAlignment="1" applyProtection="1">
      <alignment horizontal="center"/>
    </xf>
    <xf numFmtId="0" fontId="5" fillId="6" borderId="1" xfId="0" applyFont="1" applyFill="1" applyBorder="1" applyAlignment="1" applyProtection="1">
      <alignment horizontal="left"/>
    </xf>
    <xf numFmtId="4" fontId="5" fillId="6" borderId="1" xfId="0" applyNumberFormat="1" applyFont="1" applyFill="1" applyBorder="1" applyAlignment="1" applyProtection="1">
      <alignment horizontal="right"/>
    </xf>
    <xf numFmtId="0" fontId="2" fillId="6" borderId="1" xfId="0" applyFont="1" applyFill="1" applyBorder="1" applyProtection="1"/>
    <xf numFmtId="4" fontId="2" fillId="6" borderId="1" xfId="0" applyNumberFormat="1" applyFont="1" applyFill="1" applyBorder="1" applyProtection="1"/>
    <xf numFmtId="0" fontId="0" fillId="0" borderId="1" xfId="0" applyFont="1" applyFill="1" applyBorder="1" applyProtection="1"/>
    <xf numFmtId="4" fontId="2" fillId="0" borderId="1" xfId="0" applyNumberFormat="1" applyFont="1" applyFill="1" applyBorder="1" applyProtection="1"/>
    <xf numFmtId="4" fontId="2" fillId="0" borderId="0" xfId="0" applyNumberFormat="1" applyFont="1" applyProtection="1"/>
    <xf numFmtId="0" fontId="1" fillId="5" borderId="0" xfId="0" applyFont="1" applyFill="1" applyProtection="1"/>
    <xf numFmtId="4" fontId="1" fillId="5" borderId="0" xfId="0" applyNumberFormat="1" applyFont="1" applyFill="1" applyProtection="1"/>
    <xf numFmtId="4" fontId="2" fillId="0" borderId="0" xfId="0" applyNumberFormat="1" applyFont="1" applyFill="1" applyBorder="1" applyProtection="1"/>
    <xf numFmtId="4" fontId="0" fillId="0" borderId="0" xfId="0" applyNumberFormat="1" applyFill="1" applyProtection="1"/>
    <xf numFmtId="0" fontId="0" fillId="0" borderId="0" xfId="0" applyFill="1" applyProtection="1"/>
    <xf numFmtId="0" fontId="0" fillId="4" borderId="1" xfId="0" applyFont="1" applyFill="1" applyBorder="1" applyProtection="1"/>
    <xf numFmtId="4" fontId="2" fillId="4" borderId="1" xfId="0" applyNumberFormat="1" applyFont="1" applyFill="1" applyBorder="1" applyProtection="1"/>
    <xf numFmtId="0" fontId="0" fillId="3" borderId="1" xfId="0" applyFont="1" applyFill="1" applyBorder="1" applyProtection="1"/>
    <xf numFmtId="4" fontId="0" fillId="0" borderId="1" xfId="0" applyNumberFormat="1" applyFont="1" applyFill="1" applyBorder="1" applyProtection="1"/>
    <xf numFmtId="0" fontId="1" fillId="2" borderId="2" xfId="0" applyFont="1" applyFill="1" applyBorder="1" applyProtection="1"/>
    <xf numFmtId="4" fontId="1" fillId="2" borderId="2" xfId="0" applyNumberFormat="1" applyFont="1" applyFill="1" applyBorder="1" applyProtection="1"/>
    <xf numFmtId="0" fontId="2" fillId="0" borderId="0" xfId="0" applyFont="1" applyFill="1" applyBorder="1" applyProtection="1"/>
    <xf numFmtId="0" fontId="1" fillId="2" borderId="1" xfId="0" applyFont="1" applyFill="1" applyBorder="1" applyProtection="1"/>
    <xf numFmtId="4" fontId="4" fillId="0" borderId="0" xfId="0" applyNumberFormat="1" applyFont="1" applyProtection="1"/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0" fontId="0" fillId="6" borderId="1" xfId="0" applyFont="1" applyFill="1" applyBorder="1" applyProtection="1"/>
    <xf numFmtId="4" fontId="0" fillId="3" borderId="1" xfId="0" applyNumberFormat="1" applyFont="1" applyFill="1" applyBorder="1" applyProtection="1"/>
    <xf numFmtId="0" fontId="2" fillId="0" borderId="0" xfId="0" applyFont="1" applyAlignment="1" applyProtection="1">
      <alignment horizontal="center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center"/>
    </xf>
    <xf numFmtId="0" fontId="1" fillId="0" borderId="0" xfId="0" applyFont="1" applyFill="1" applyProtection="1"/>
    <xf numFmtId="4" fontId="1" fillId="0" borderId="0" xfId="0" applyNumberFormat="1" applyFont="1" applyFill="1" applyProtection="1"/>
    <xf numFmtId="4" fontId="0" fillId="7" borderId="1" xfId="0" applyNumberFormat="1" applyFill="1" applyBorder="1"/>
    <xf numFmtId="4" fontId="0" fillId="2" borderId="1" xfId="0" applyNumberFormat="1" applyFill="1" applyBorder="1"/>
    <xf numFmtId="4" fontId="0" fillId="2" borderId="1" xfId="0" applyNumberFormat="1" applyFill="1" applyBorder="1" applyProtection="1"/>
    <xf numFmtId="0" fontId="1" fillId="8" borderId="0" xfId="0" applyFont="1" applyFill="1" applyBorder="1" applyProtection="1"/>
    <xf numFmtId="4" fontId="1" fillId="8" borderId="0" xfId="0" applyNumberFormat="1" applyFont="1" applyFill="1" applyProtection="1"/>
    <xf numFmtId="4" fontId="0" fillId="0" borderId="1" xfId="0" applyNumberFormat="1" applyFill="1" applyBorder="1"/>
    <xf numFmtId="4" fontId="0" fillId="0" borderId="1" xfId="0" applyNumberFormat="1" applyFill="1" applyBorder="1" applyProtection="1"/>
    <xf numFmtId="4" fontId="0" fillId="7" borderId="1" xfId="0" applyNumberFormat="1" applyFill="1" applyBorder="1" applyProtection="1"/>
    <xf numFmtId="0" fontId="2" fillId="0" borderId="0" xfId="0" applyFont="1" applyFill="1" applyProtection="1"/>
    <xf numFmtId="4" fontId="2" fillId="0" borderId="0" xfId="0" applyNumberFormat="1" applyFont="1" applyFill="1" applyProtection="1"/>
    <xf numFmtId="0" fontId="1" fillId="0" borderId="0" xfId="0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workbookViewId="0">
      <selection activeCell="G62" sqref="G62"/>
    </sheetView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210000</v>
      </c>
      <c r="C4" s="11">
        <v>210000</v>
      </c>
      <c r="D4" s="11">
        <v>210000</v>
      </c>
      <c r="E4" s="11">
        <f>D4*1.25</f>
        <v>262500</v>
      </c>
      <c r="F4" s="11">
        <f>E4</f>
        <v>262500</v>
      </c>
      <c r="G4" s="11">
        <f>F4</f>
        <v>262500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hidden="1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hidden="1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223000</v>
      </c>
      <c r="C9" s="17">
        <f t="shared" si="0"/>
        <v>224000</v>
      </c>
      <c r="D9" s="17">
        <f t="shared" si="0"/>
        <v>220000</v>
      </c>
      <c r="E9" s="17">
        <f t="shared" si="0"/>
        <v>275500</v>
      </c>
      <c r="F9" s="17">
        <f t="shared" si="0"/>
        <v>278500</v>
      </c>
      <c r="G9" s="17">
        <f t="shared" si="0"/>
        <v>279500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24530</v>
      </c>
      <c r="C10" s="11">
        <f t="shared" ref="C10:M10" si="1">C9*0.11</f>
        <v>24640</v>
      </c>
      <c r="D10" s="11">
        <f t="shared" si="1"/>
        <v>24200</v>
      </c>
      <c r="E10" s="11">
        <f t="shared" si="1"/>
        <v>30305</v>
      </c>
      <c r="F10" s="11">
        <f t="shared" si="1"/>
        <v>30635</v>
      </c>
      <c r="G10" s="11">
        <f t="shared" si="1"/>
        <v>30745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6690</v>
      </c>
      <c r="C11" s="11">
        <f t="shared" ref="C11:M11" si="2">C9*0.03</f>
        <v>6720</v>
      </c>
      <c r="D11" s="11">
        <f t="shared" si="2"/>
        <v>6600</v>
      </c>
      <c r="E11" s="11">
        <f t="shared" si="2"/>
        <v>8265</v>
      </c>
      <c r="F11" s="11">
        <f t="shared" si="2"/>
        <v>8355</v>
      </c>
      <c r="G11" s="11">
        <f t="shared" si="2"/>
        <v>8385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6690</v>
      </c>
      <c r="C12" s="11">
        <f t="shared" ref="C12:M12" si="3">C9*0.03</f>
        <v>6720</v>
      </c>
      <c r="D12" s="11">
        <f t="shared" si="3"/>
        <v>6600</v>
      </c>
      <c r="E12" s="11">
        <f t="shared" si="3"/>
        <v>8265</v>
      </c>
      <c r="F12" s="11">
        <f t="shared" si="3"/>
        <v>8355</v>
      </c>
      <c r="G12" s="11">
        <f t="shared" si="3"/>
        <v>8385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37910</v>
      </c>
      <c r="C13" s="19">
        <f t="shared" ref="C13:M13" si="4">SUM(C10:C12)</f>
        <v>38080</v>
      </c>
      <c r="D13" s="19">
        <f t="shared" si="4"/>
        <v>37400</v>
      </c>
      <c r="E13" s="19">
        <f t="shared" si="4"/>
        <v>46835</v>
      </c>
      <c r="F13" s="19">
        <f t="shared" si="4"/>
        <v>47345</v>
      </c>
      <c r="G13" s="19">
        <f t="shared" si="4"/>
        <v>47515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185090</v>
      </c>
      <c r="C14" s="19">
        <f t="shared" si="5"/>
        <v>185920</v>
      </c>
      <c r="D14" s="19">
        <f t="shared" si="5"/>
        <v>182600</v>
      </c>
      <c r="E14" s="19">
        <f t="shared" si="5"/>
        <v>228665</v>
      </c>
      <c r="F14" s="19">
        <f t="shared" si="5"/>
        <v>231155</v>
      </c>
      <c r="G14" s="19">
        <f t="shared" si="5"/>
        <v>231985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223000</v>
      </c>
      <c r="C16" s="24">
        <f t="shared" ref="C16:M16" si="6">C9</f>
        <v>224000</v>
      </c>
      <c r="D16" s="24">
        <f t="shared" si="6"/>
        <v>220000</v>
      </c>
      <c r="E16" s="24">
        <f t="shared" si="6"/>
        <v>275500</v>
      </c>
      <c r="F16" s="24">
        <f t="shared" si="6"/>
        <v>278500</v>
      </c>
      <c r="G16" s="24">
        <f t="shared" si="6"/>
        <v>279500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223000</v>
      </c>
      <c r="C17" s="43">
        <f>(B9+C9)/2</f>
        <v>223500</v>
      </c>
      <c r="D17" s="43">
        <f>(B9+C9+D9)/3</f>
        <v>222333.33333333334</v>
      </c>
      <c r="E17" s="43">
        <f>(B9+C9+D9+E9)/4</f>
        <v>235625</v>
      </c>
      <c r="F17" s="43">
        <f>(B9+C9+D9+E9+F9)/5</f>
        <v>244200</v>
      </c>
      <c r="G17" s="43">
        <f>(B9+C9+D9+E9+F14+G14)/6</f>
        <v>234273.33333333334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185090</v>
      </c>
      <c r="C22" s="11">
        <f>C14+B22</f>
        <v>371010</v>
      </c>
      <c r="D22" s="11">
        <f t="shared" ref="D22:M22" si="8">D14+C22</f>
        <v>553610</v>
      </c>
      <c r="E22" s="11">
        <f t="shared" si="8"/>
        <v>782275</v>
      </c>
      <c r="F22" s="11">
        <f t="shared" si="8"/>
        <v>1013430</v>
      </c>
      <c r="G22" s="11">
        <f t="shared" si="8"/>
        <v>1245415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v>0</v>
      </c>
      <c r="C23" s="11">
        <v>0</v>
      </c>
      <c r="D23" s="11">
        <v>0</v>
      </c>
      <c r="E23" s="11">
        <v>0</v>
      </c>
      <c r="F23" s="11">
        <f>F22/12</f>
        <v>84452.5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185090</v>
      </c>
      <c r="C25" s="19">
        <f t="shared" ref="C25:G25" si="10">SUM(C22:C24)</f>
        <v>371010</v>
      </c>
      <c r="D25" s="19">
        <f t="shared" si="10"/>
        <v>553610</v>
      </c>
      <c r="E25" s="19">
        <f t="shared" si="10"/>
        <v>782275</v>
      </c>
      <c r="F25" s="19">
        <f t="shared" si="10"/>
        <v>1097882.5</v>
      </c>
      <c r="G25" s="19">
        <f t="shared" si="10"/>
        <v>1245415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185090</v>
      </c>
      <c r="C32" s="19">
        <f t="shared" ref="C32:M32" si="13">C25-C31</f>
        <v>371010</v>
      </c>
      <c r="D32" s="19">
        <f t="shared" si="13"/>
        <v>553610</v>
      </c>
      <c r="E32" s="19">
        <f t="shared" si="13"/>
        <v>782275</v>
      </c>
      <c r="F32" s="19">
        <f t="shared" si="13"/>
        <v>1097882.5</v>
      </c>
      <c r="G32" s="19">
        <f t="shared" si="13"/>
        <v>1245415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x14ac:dyDescent="0.3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47">
        <v>53121.83</v>
      </c>
      <c r="C45" s="47">
        <v>53951.83</v>
      </c>
      <c r="D45" s="47">
        <v>50631.83</v>
      </c>
      <c r="E45" s="52"/>
      <c r="F45" s="52"/>
      <c r="G45" s="47">
        <v>226593.48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52">
        <f>B45</f>
        <v>53121.83</v>
      </c>
      <c r="C46" s="11">
        <f>B45+C45</f>
        <v>107073.66</v>
      </c>
      <c r="D46" s="11">
        <f>B45+C45+D45</f>
        <v>157705.49</v>
      </c>
      <c r="E46" s="11">
        <f>B45+C45+D45+E45</f>
        <v>157705.49</v>
      </c>
      <c r="F46" s="11">
        <f>B45+C45+D45+E45+F45</f>
        <v>157705.49</v>
      </c>
      <c r="G46" s="11">
        <f>F46</f>
        <v>157705.49</v>
      </c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53"/>
      <c r="C47" s="53"/>
      <c r="D47" s="53"/>
      <c r="E47" s="54">
        <v>42523</v>
      </c>
      <c r="F47" s="54">
        <v>26784</v>
      </c>
      <c r="G47" s="53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0</v>
      </c>
      <c r="C48" s="11">
        <f>B47+C47</f>
        <v>0</v>
      </c>
      <c r="D48" s="11">
        <f>B47+C47+D47</f>
        <v>0</v>
      </c>
      <c r="E48" s="11">
        <f>B47+C47+D47+E47</f>
        <v>42523</v>
      </c>
      <c r="F48" s="11">
        <f>B47+C47+D47+E47+F47</f>
        <v>69307</v>
      </c>
      <c r="G48" s="11">
        <f>F48</f>
        <v>69307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x14ac:dyDescent="0.3">
      <c r="A49" s="18" t="s">
        <v>43</v>
      </c>
      <c r="B49" s="19">
        <f>B40+B42+B44+B46+B48</f>
        <v>185090</v>
      </c>
      <c r="C49" s="19">
        <f t="shared" ref="C49:F49" si="18">C40+C42+C44+C46+C48</f>
        <v>371010</v>
      </c>
      <c r="D49" s="19">
        <f t="shared" si="18"/>
        <v>553610</v>
      </c>
      <c r="E49" s="19">
        <f t="shared" si="18"/>
        <v>728101.17999999993</v>
      </c>
      <c r="F49" s="19">
        <f t="shared" si="18"/>
        <v>886853.34</v>
      </c>
      <c r="G49" s="19">
        <f>G40+G42+G44+G46+G48</f>
        <v>1018821.52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3">
      <c r="A51" s="32" t="s">
        <v>44</v>
      </c>
      <c r="B51" s="33">
        <f>B25-B39-B49</f>
        <v>0</v>
      </c>
      <c r="C51" s="33">
        <f>C25-C49-C39</f>
        <v>0</v>
      </c>
      <c r="D51" s="33">
        <f t="shared" ref="D51:M51" si="20">D25-D49-D39</f>
        <v>0</v>
      </c>
      <c r="E51" s="33">
        <f t="shared" si="20"/>
        <v>54173.820000000065</v>
      </c>
      <c r="F51" s="33">
        <f>F25-F49-F39</f>
        <v>211029.16000000003</v>
      </c>
      <c r="G51" s="33">
        <f t="shared" si="20"/>
        <v>226593.47999999998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x14ac:dyDescent="0.3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x14ac:dyDescent="0.3">
      <c r="A53" s="35" t="s">
        <v>45</v>
      </c>
      <c r="B53" s="1">
        <v>0</v>
      </c>
      <c r="C53" s="1">
        <v>0</v>
      </c>
      <c r="D53" s="1">
        <v>0</v>
      </c>
      <c r="E53" s="1">
        <f>1620.03+(0.09*(E51-32400.67))</f>
        <v>3579.6135000000058</v>
      </c>
      <c r="F53" s="1">
        <f>16605.34+(0.19*(F51-162003.34))</f>
        <v>25920.245800000008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x14ac:dyDescent="0.3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0</v>
      </c>
      <c r="C55" s="1">
        <f>C53-B55</f>
        <v>0</v>
      </c>
      <c r="D55" s="1">
        <f>D53-C55</f>
        <v>0</v>
      </c>
      <c r="E55" s="1">
        <f>E53-D55</f>
        <v>3579.6135000000058</v>
      </c>
      <c r="F55" s="1">
        <f>F53-E55</f>
        <v>22340.632300000001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3">
      <c r="C57" s="5"/>
    </row>
    <row r="58" spans="1:19" x14ac:dyDescent="0.3">
      <c r="A58" s="4" t="s">
        <v>56</v>
      </c>
      <c r="B58" s="22">
        <f>F53</f>
        <v>25920.245800000008</v>
      </c>
    </row>
    <row r="59" spans="1:19" x14ac:dyDescent="0.3">
      <c r="A59" s="4" t="s">
        <v>57</v>
      </c>
      <c r="B59" s="22">
        <f>'Caso 1 DEV SAC'!F53</f>
        <v>11291.344000000005</v>
      </c>
    </row>
    <row r="60" spans="1:19" x14ac:dyDescent="0.3">
      <c r="A60" s="50" t="s">
        <v>58</v>
      </c>
      <c r="B60" s="51">
        <f>B58-B59</f>
        <v>14628.901800000003</v>
      </c>
    </row>
  </sheetData>
  <dataValidations count="2">
    <dataValidation type="whole" operator="equal" allowBlank="1" showInputMessage="1" showErrorMessage="1" error="Tope 5% No Modificar_x000a_" sqref="B36:M36 B34:M34">
      <formula1>1234</formula1>
    </dataValidation>
    <dataValidation type="whole" operator="equal" allowBlank="1" showInputMessage="1" showErrorMessage="1" error="Tope 5%, No Modificar" sqref="B38:M38">
      <formula1>1234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tabSelected="1" workbookViewId="0">
      <selection activeCell="F60" sqref="F60"/>
    </sheetView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210000</v>
      </c>
      <c r="C4" s="11">
        <v>210000</v>
      </c>
      <c r="D4" s="11">
        <v>210000</v>
      </c>
      <c r="E4" s="11">
        <f>D4*1.25</f>
        <v>262500</v>
      </c>
      <c r="F4" s="11">
        <f>E4</f>
        <v>262500</v>
      </c>
      <c r="G4" s="11">
        <f>F4</f>
        <v>262500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hidden="1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hidden="1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223000</v>
      </c>
      <c r="C9" s="17">
        <f t="shared" si="0"/>
        <v>224000</v>
      </c>
      <c r="D9" s="17">
        <f t="shared" si="0"/>
        <v>220000</v>
      </c>
      <c r="E9" s="17">
        <f t="shared" si="0"/>
        <v>275500</v>
      </c>
      <c r="F9" s="17">
        <f t="shared" si="0"/>
        <v>278500</v>
      </c>
      <c r="G9" s="17">
        <f t="shared" si="0"/>
        <v>279500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24530</v>
      </c>
      <c r="C10" s="11">
        <f t="shared" ref="C10:M10" si="1">C9*0.11</f>
        <v>24640</v>
      </c>
      <c r="D10" s="11">
        <f t="shared" si="1"/>
        <v>24200</v>
      </c>
      <c r="E10" s="11">
        <f t="shared" si="1"/>
        <v>30305</v>
      </c>
      <c r="F10" s="11">
        <f t="shared" si="1"/>
        <v>30635</v>
      </c>
      <c r="G10" s="11">
        <f t="shared" si="1"/>
        <v>30745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6690</v>
      </c>
      <c r="C11" s="11">
        <f t="shared" ref="C11:M11" si="2">C9*0.03</f>
        <v>6720</v>
      </c>
      <c r="D11" s="11">
        <f t="shared" si="2"/>
        <v>6600</v>
      </c>
      <c r="E11" s="11">
        <f t="shared" si="2"/>
        <v>8265</v>
      </c>
      <c r="F11" s="11">
        <f t="shared" si="2"/>
        <v>8355</v>
      </c>
      <c r="G11" s="11">
        <f t="shared" si="2"/>
        <v>8385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6690</v>
      </c>
      <c r="C12" s="11">
        <f t="shared" ref="C12:M12" si="3">C9*0.03</f>
        <v>6720</v>
      </c>
      <c r="D12" s="11">
        <f t="shared" si="3"/>
        <v>6600</v>
      </c>
      <c r="E12" s="11">
        <f t="shared" si="3"/>
        <v>8265</v>
      </c>
      <c r="F12" s="11">
        <f t="shared" si="3"/>
        <v>8355</v>
      </c>
      <c r="G12" s="11">
        <f t="shared" si="3"/>
        <v>8385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37910</v>
      </c>
      <c r="C13" s="19">
        <f t="shared" ref="C13:M13" si="4">SUM(C10:C12)</f>
        <v>38080</v>
      </c>
      <c r="D13" s="19">
        <f t="shared" si="4"/>
        <v>37400</v>
      </c>
      <c r="E13" s="19">
        <f t="shared" si="4"/>
        <v>46835</v>
      </c>
      <c r="F13" s="19">
        <f t="shared" si="4"/>
        <v>47345</v>
      </c>
      <c r="G13" s="19">
        <f t="shared" si="4"/>
        <v>47515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185090</v>
      </c>
      <c r="C14" s="19">
        <f t="shared" si="5"/>
        <v>185920</v>
      </c>
      <c r="D14" s="19">
        <f t="shared" si="5"/>
        <v>182600</v>
      </c>
      <c r="E14" s="19">
        <f t="shared" si="5"/>
        <v>228665</v>
      </c>
      <c r="F14" s="19">
        <f t="shared" si="5"/>
        <v>231155</v>
      </c>
      <c r="G14" s="19">
        <f t="shared" si="5"/>
        <v>231985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223000</v>
      </c>
      <c r="C16" s="24">
        <f t="shared" ref="C16:M16" si="6">C9</f>
        <v>224000</v>
      </c>
      <c r="D16" s="24">
        <f t="shared" si="6"/>
        <v>220000</v>
      </c>
      <c r="E16" s="24">
        <f t="shared" si="6"/>
        <v>275500</v>
      </c>
      <c r="F16" s="24">
        <f t="shared" si="6"/>
        <v>278500</v>
      </c>
      <c r="G16" s="24">
        <f t="shared" si="6"/>
        <v>279500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223000</v>
      </c>
      <c r="C17" s="43">
        <f>(B9+C9)/2</f>
        <v>223500</v>
      </c>
      <c r="D17" s="43">
        <f>(B9+C9+D9)/3</f>
        <v>222333.33333333334</v>
      </c>
      <c r="E17" s="43">
        <f>(B9+C9+D9+E9)/4</f>
        <v>235625</v>
      </c>
      <c r="F17" s="43">
        <f>(B9+C9+D9+E9+F9)/5</f>
        <v>244200</v>
      </c>
      <c r="G17" s="43">
        <f>(B9+C9+D9+E9+F14+G14)/6</f>
        <v>234273.33333333334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185090</v>
      </c>
      <c r="C22" s="11">
        <f>C14+B22</f>
        <v>371010</v>
      </c>
      <c r="D22" s="11">
        <f t="shared" ref="D22:M22" si="8">D14+C22</f>
        <v>553610</v>
      </c>
      <c r="E22" s="11">
        <f t="shared" si="8"/>
        <v>782275</v>
      </c>
      <c r="F22" s="11">
        <f t="shared" si="8"/>
        <v>1013430</v>
      </c>
      <c r="G22" s="11">
        <f t="shared" si="8"/>
        <v>1245415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185090</v>
      </c>
      <c r="C25" s="19">
        <f t="shared" ref="C25:G25" si="10">SUM(C22:C24)</f>
        <v>371010</v>
      </c>
      <c r="D25" s="19">
        <f t="shared" si="10"/>
        <v>553610</v>
      </c>
      <c r="E25" s="19">
        <f t="shared" si="10"/>
        <v>782275</v>
      </c>
      <c r="F25" s="19">
        <f t="shared" si="10"/>
        <v>1013430</v>
      </c>
      <c r="G25" s="19">
        <f t="shared" si="10"/>
        <v>1245415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185090</v>
      </c>
      <c r="C32" s="19">
        <f t="shared" ref="C32:M32" si="13">C25-C31</f>
        <v>371010</v>
      </c>
      <c r="D32" s="19">
        <f t="shared" si="13"/>
        <v>553610</v>
      </c>
      <c r="E32" s="19">
        <f t="shared" si="13"/>
        <v>782275</v>
      </c>
      <c r="F32" s="19">
        <f t="shared" si="13"/>
        <v>1013430</v>
      </c>
      <c r="G32" s="19">
        <f t="shared" si="13"/>
        <v>1245415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x14ac:dyDescent="0.3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47">
        <v>53121.83</v>
      </c>
      <c r="C45" s="47">
        <v>53951.83</v>
      </c>
      <c r="D45" s="47">
        <v>50631.83</v>
      </c>
      <c r="E45" s="52"/>
      <c r="F45" s="52"/>
      <c r="G45" s="47">
        <v>226593.48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52">
        <f>B45</f>
        <v>53121.83</v>
      </c>
      <c r="C46" s="11">
        <f>B45+C45</f>
        <v>107073.66</v>
      </c>
      <c r="D46" s="11">
        <f>B45+C45+D45</f>
        <v>157705.49</v>
      </c>
      <c r="E46" s="11">
        <f>B45+C45+D45+E45</f>
        <v>157705.49</v>
      </c>
      <c r="F46" s="11">
        <f>B45+C45+D45+E45+F45</f>
        <v>157705.49</v>
      </c>
      <c r="G46" s="11">
        <f>F46</f>
        <v>157705.49</v>
      </c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53"/>
      <c r="C47" s="53"/>
      <c r="D47" s="53"/>
      <c r="E47" s="54">
        <v>42523</v>
      </c>
      <c r="F47" s="54">
        <v>26784</v>
      </c>
      <c r="G47" s="53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0</v>
      </c>
      <c r="C48" s="11">
        <f>B47+C47</f>
        <v>0</v>
      </c>
      <c r="D48" s="11">
        <f>B47+C47+D47</f>
        <v>0</v>
      </c>
      <c r="E48" s="11">
        <f>B47+C47+D47+E47</f>
        <v>42523</v>
      </c>
      <c r="F48" s="11">
        <f>B47+C47+D47+E47+F47</f>
        <v>69307</v>
      </c>
      <c r="G48" s="11">
        <f>F48</f>
        <v>69307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x14ac:dyDescent="0.3">
      <c r="A49" s="18" t="s">
        <v>43</v>
      </c>
      <c r="B49" s="19">
        <f>B40+B42+B44+B46+B48</f>
        <v>185090</v>
      </c>
      <c r="C49" s="19">
        <f t="shared" ref="C49:F49" si="18">C40+C42+C44+C46+C48</f>
        <v>371010</v>
      </c>
      <c r="D49" s="19">
        <f t="shared" si="18"/>
        <v>553610</v>
      </c>
      <c r="E49" s="19">
        <f t="shared" si="18"/>
        <v>728101.17999999993</v>
      </c>
      <c r="F49" s="19">
        <f t="shared" si="18"/>
        <v>886853.34</v>
      </c>
      <c r="G49" s="19">
        <f>G40+G42+G44+G46+G48</f>
        <v>1018821.52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3">
      <c r="A51" s="32" t="s">
        <v>44</v>
      </c>
      <c r="B51" s="33">
        <f>B25-B39-B49</f>
        <v>0</v>
      </c>
      <c r="C51" s="33">
        <f>C25-C49-C39</f>
        <v>0</v>
      </c>
      <c r="D51" s="33">
        <f t="shared" ref="D51:M51" si="20">D25-D49-D39</f>
        <v>0</v>
      </c>
      <c r="E51" s="33">
        <f t="shared" si="20"/>
        <v>54173.820000000065</v>
      </c>
      <c r="F51" s="33">
        <f>F25-F49-F39</f>
        <v>126576.66000000003</v>
      </c>
      <c r="G51" s="33">
        <f t="shared" si="20"/>
        <v>226593.47999999998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x14ac:dyDescent="0.3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x14ac:dyDescent="0.3">
      <c r="A53" s="35" t="s">
        <v>45</v>
      </c>
      <c r="B53" s="1">
        <v>0</v>
      </c>
      <c r="C53" s="1">
        <v>0</v>
      </c>
      <c r="D53" s="1">
        <v>0</v>
      </c>
      <c r="E53" s="1">
        <f>1620.03+(0.09*(E51-32400.67))</f>
        <v>3579.6135000000058</v>
      </c>
      <c r="F53" s="1">
        <f>10530.22+(0.15*(F51-121502.5))</f>
        <v>11291.344000000005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x14ac:dyDescent="0.3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0</v>
      </c>
      <c r="C55" s="1">
        <f>C53-B55</f>
        <v>0</v>
      </c>
      <c r="D55" s="1">
        <f>D53-C55</f>
        <v>0</v>
      </c>
      <c r="E55" s="1">
        <f>E53-D55</f>
        <v>3579.6135000000058</v>
      </c>
      <c r="F55" s="1">
        <f>F53-E55</f>
        <v>7711.7304999999988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3">
      <c r="C57" s="5"/>
    </row>
    <row r="58" spans="1:19" x14ac:dyDescent="0.3">
      <c r="A58" s="55"/>
      <c r="B58" s="56"/>
      <c r="C58" s="27"/>
    </row>
    <row r="59" spans="1:19" x14ac:dyDescent="0.3">
      <c r="A59" s="55"/>
      <c r="B59" s="56"/>
      <c r="C59" s="27"/>
    </row>
    <row r="60" spans="1:19" x14ac:dyDescent="0.3">
      <c r="A60" s="57"/>
      <c r="B60" s="46"/>
      <c r="C60" s="27"/>
    </row>
  </sheetData>
  <dataValidations count="2">
    <dataValidation type="whole" operator="equal" allowBlank="1" showInputMessage="1" showErrorMessage="1" error="Tope 5%, No Modificar" sqref="B38:M38">
      <formula1>1234</formula1>
    </dataValidation>
    <dataValidation type="whole" operator="equal" allowBlank="1" showInputMessage="1" showErrorMessage="1" error="Tope 5% No Modificar_x000a_" sqref="B36:M36 B34:M34">
      <formula1>1234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topLeftCell="A3" workbookViewId="0">
      <selection activeCell="F61" sqref="F61"/>
    </sheetView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230000</v>
      </c>
      <c r="C4" s="11">
        <v>230000</v>
      </c>
      <c r="D4" s="11">
        <v>230000</v>
      </c>
      <c r="E4" s="11">
        <v>230000</v>
      </c>
      <c r="F4" s="11">
        <v>230000</v>
      </c>
      <c r="G4" s="11">
        <v>230000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hidden="1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hidden="1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243000</v>
      </c>
      <c r="C9" s="17">
        <f t="shared" si="0"/>
        <v>244000</v>
      </c>
      <c r="D9" s="17">
        <f t="shared" si="0"/>
        <v>240000</v>
      </c>
      <c r="E9" s="17">
        <f t="shared" si="0"/>
        <v>243000</v>
      </c>
      <c r="F9" s="17">
        <f t="shared" si="0"/>
        <v>246000</v>
      </c>
      <c r="G9" s="17">
        <f t="shared" si="0"/>
        <v>247000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26730</v>
      </c>
      <c r="C10" s="11">
        <f t="shared" ref="C10:M10" si="1">C9*0.11</f>
        <v>26840</v>
      </c>
      <c r="D10" s="11">
        <f t="shared" si="1"/>
        <v>26400</v>
      </c>
      <c r="E10" s="11">
        <f t="shared" si="1"/>
        <v>26730</v>
      </c>
      <c r="F10" s="11">
        <f t="shared" si="1"/>
        <v>27060</v>
      </c>
      <c r="G10" s="11">
        <f t="shared" si="1"/>
        <v>27170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7290</v>
      </c>
      <c r="C11" s="11">
        <f t="shared" ref="C11:M11" si="2">C9*0.03</f>
        <v>7320</v>
      </c>
      <c r="D11" s="11">
        <f t="shared" si="2"/>
        <v>7200</v>
      </c>
      <c r="E11" s="11">
        <f t="shared" si="2"/>
        <v>7290</v>
      </c>
      <c r="F11" s="11">
        <f t="shared" si="2"/>
        <v>7380</v>
      </c>
      <c r="G11" s="11">
        <f t="shared" si="2"/>
        <v>7410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7290</v>
      </c>
      <c r="C12" s="11">
        <f t="shared" ref="C12:M12" si="3">C9*0.03</f>
        <v>7320</v>
      </c>
      <c r="D12" s="11">
        <f t="shared" si="3"/>
        <v>7200</v>
      </c>
      <c r="E12" s="11">
        <f t="shared" si="3"/>
        <v>7290</v>
      </c>
      <c r="F12" s="11">
        <f t="shared" si="3"/>
        <v>7380</v>
      </c>
      <c r="G12" s="11">
        <f t="shared" si="3"/>
        <v>7410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41310</v>
      </c>
      <c r="C13" s="19">
        <f t="shared" ref="C13:M13" si="4">SUM(C10:C12)</f>
        <v>41480</v>
      </c>
      <c r="D13" s="19">
        <f t="shared" si="4"/>
        <v>40800</v>
      </c>
      <c r="E13" s="19">
        <f t="shared" si="4"/>
        <v>41310</v>
      </c>
      <c r="F13" s="19">
        <f t="shared" si="4"/>
        <v>41820</v>
      </c>
      <c r="G13" s="19">
        <f t="shared" si="4"/>
        <v>41990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201690</v>
      </c>
      <c r="C14" s="19">
        <f t="shared" si="5"/>
        <v>202520</v>
      </c>
      <c r="D14" s="19">
        <f t="shared" si="5"/>
        <v>199200</v>
      </c>
      <c r="E14" s="19">
        <f t="shared" si="5"/>
        <v>201690</v>
      </c>
      <c r="F14" s="19">
        <f t="shared" si="5"/>
        <v>204180</v>
      </c>
      <c r="G14" s="19">
        <f t="shared" si="5"/>
        <v>205010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243000</v>
      </c>
      <c r="C16" s="24">
        <f t="shared" ref="C16:M16" si="6">C9</f>
        <v>244000</v>
      </c>
      <c r="D16" s="24">
        <f t="shared" si="6"/>
        <v>240000</v>
      </c>
      <c r="E16" s="24">
        <f t="shared" si="6"/>
        <v>243000</v>
      </c>
      <c r="F16" s="24">
        <f t="shared" si="6"/>
        <v>246000</v>
      </c>
      <c r="G16" s="24">
        <f t="shared" si="6"/>
        <v>247000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243000</v>
      </c>
      <c r="C17" s="43">
        <f>(B9+C9)/2</f>
        <v>243500</v>
      </c>
      <c r="D17" s="43">
        <f>(B9+C9+D9)/3</f>
        <v>242333.33333333334</v>
      </c>
      <c r="E17" s="43">
        <f>(B9+C9+D9+E9)/4</f>
        <v>242500</v>
      </c>
      <c r="F17" s="43">
        <f>(B9+C9+D9+E9+F9)/5</f>
        <v>243200</v>
      </c>
      <c r="G17" s="43">
        <f>(B9+C9+D9+E9+F14+G14)/6</f>
        <v>229865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201690</v>
      </c>
      <c r="C22" s="11">
        <f>C14+B22</f>
        <v>404210</v>
      </c>
      <c r="D22" s="11">
        <f t="shared" ref="D22:M22" si="8">D14+C22</f>
        <v>603410</v>
      </c>
      <c r="E22" s="11">
        <f t="shared" si="8"/>
        <v>805100</v>
      </c>
      <c r="F22" s="11">
        <f t="shared" si="8"/>
        <v>1009280</v>
      </c>
      <c r="G22" s="11">
        <f t="shared" si="8"/>
        <v>1214290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f>B22/12</f>
        <v>16807.5</v>
      </c>
      <c r="C23" s="11">
        <f>C22/12</f>
        <v>33684.166666666664</v>
      </c>
      <c r="D23" s="11">
        <f>D22/12</f>
        <v>50284.166666666664</v>
      </c>
      <c r="E23" s="11">
        <f>E22/12</f>
        <v>67091.666666666672</v>
      </c>
      <c r="F23" s="11">
        <f>F22/12</f>
        <v>84106.666666666672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218497.5</v>
      </c>
      <c r="C25" s="19">
        <f t="shared" ref="C25:G25" si="10">SUM(C22:C24)</f>
        <v>437894.16666666669</v>
      </c>
      <c r="D25" s="19">
        <f t="shared" si="10"/>
        <v>653694.16666666663</v>
      </c>
      <c r="E25" s="19">
        <f t="shared" si="10"/>
        <v>872191.66666666663</v>
      </c>
      <c r="F25" s="19">
        <f t="shared" si="10"/>
        <v>1093386.6666666667</v>
      </c>
      <c r="G25" s="19">
        <f t="shared" si="10"/>
        <v>1214290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218497.5</v>
      </c>
      <c r="C32" s="19">
        <f t="shared" ref="C32:M32" si="13">C25-C31</f>
        <v>437894.16666666669</v>
      </c>
      <c r="D32" s="19">
        <f t="shared" si="13"/>
        <v>653694.16666666663</v>
      </c>
      <c r="E32" s="19">
        <f t="shared" si="13"/>
        <v>872191.66666666663</v>
      </c>
      <c r="F32" s="19">
        <f t="shared" si="13"/>
        <v>1093386.6666666667</v>
      </c>
      <c r="G32" s="19">
        <f t="shared" si="13"/>
        <v>1214290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x14ac:dyDescent="0.3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37"/>
      <c r="C45" s="37"/>
      <c r="D45" s="37"/>
      <c r="E45" s="37"/>
      <c r="F45" s="37"/>
      <c r="G45" s="48">
        <v>272565.96999999997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49">
        <v>28900</v>
      </c>
      <c r="C47" s="49">
        <v>28104</v>
      </c>
      <c r="D47" s="49">
        <v>34309</v>
      </c>
      <c r="E47" s="49">
        <v>29968</v>
      </c>
      <c r="F47" s="49">
        <v>28634</v>
      </c>
      <c r="G47" s="11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28900</v>
      </c>
      <c r="C48" s="11">
        <f>B47+C47</f>
        <v>57004</v>
      </c>
      <c r="D48" s="11">
        <f>B47+C47+D47</f>
        <v>91313</v>
      </c>
      <c r="E48" s="11">
        <f>B47+C47+D47+E47</f>
        <v>121281</v>
      </c>
      <c r="F48" s="11">
        <f>B47+C47+D47+E47+F47</f>
        <v>149915</v>
      </c>
      <c r="G48" s="11">
        <f>F48</f>
        <v>149915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x14ac:dyDescent="0.3">
      <c r="A49" s="18" t="s">
        <v>43</v>
      </c>
      <c r="B49" s="19">
        <f>B40+B42+B44+B46+B48</f>
        <v>160868.17000000001</v>
      </c>
      <c r="C49" s="19">
        <f t="shared" ref="C49:F49" si="18">C40+C42+C44+C46+C48</f>
        <v>320940.33999999997</v>
      </c>
      <c r="D49" s="19">
        <f t="shared" si="18"/>
        <v>487217.51</v>
      </c>
      <c r="E49" s="19">
        <f t="shared" si="18"/>
        <v>649153.68999999994</v>
      </c>
      <c r="F49" s="19">
        <f t="shared" si="18"/>
        <v>809755.85</v>
      </c>
      <c r="G49" s="19">
        <f>G40+G42+G44+G46+G48</f>
        <v>941724.03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3">
      <c r="A51" s="32" t="s">
        <v>44</v>
      </c>
      <c r="B51" s="33">
        <f>B25-B39-B49</f>
        <v>57629.329999999987</v>
      </c>
      <c r="C51" s="33">
        <f>C25-C49-C39</f>
        <v>116953.82666666672</v>
      </c>
      <c r="D51" s="33">
        <f t="shared" ref="D51:M51" si="20">D25-D49-D39</f>
        <v>166476.65666666662</v>
      </c>
      <c r="E51" s="33">
        <f t="shared" si="20"/>
        <v>223037.97666666668</v>
      </c>
      <c r="F51" s="33">
        <f>F25-F49-F39</f>
        <v>283630.81666666677</v>
      </c>
      <c r="G51" s="33">
        <f t="shared" si="20"/>
        <v>272565.96999999997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x14ac:dyDescent="0.3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x14ac:dyDescent="0.3">
      <c r="A53" s="35" t="s">
        <v>45</v>
      </c>
      <c r="B53" s="1">
        <f>6399.13+(0.23*(B51-48601))</f>
        <v>8475.6458999999977</v>
      </c>
      <c r="C53" s="1">
        <f>12798.26+(0.23*(C51-97202))</f>
        <v>17341.180133333346</v>
      </c>
      <c r="D53" s="1">
        <f>19197.4+(0.23*(D51-145803.01))</f>
        <v>23952.338733333323</v>
      </c>
      <c r="E53" s="1">
        <f>25596.53+(0.23*(E51-194404.01))</f>
        <v>32182.342333333334</v>
      </c>
      <c r="F53" s="1">
        <f>31995.66+(0.23*(F51-243005.01))</f>
        <v>41339.595533333355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x14ac:dyDescent="0.3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8475.6458999999977</v>
      </c>
      <c r="C55" s="1">
        <f>C53-B55</f>
        <v>8865.5342333333483</v>
      </c>
      <c r="D55" s="1">
        <f>D53-C55-B55</f>
        <v>6611.158599999977</v>
      </c>
      <c r="E55" s="1">
        <f>E53-D55-C55-B55</f>
        <v>8230.0036000000091</v>
      </c>
      <c r="F55" s="1">
        <f>F53-E55-D55-C55-B55</f>
        <v>9157.2532000000192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3">
      <c r="C57" s="5"/>
    </row>
    <row r="58" spans="1:19" x14ac:dyDescent="0.3">
      <c r="A58" s="4" t="s">
        <v>56</v>
      </c>
      <c r="B58" s="22">
        <f>F53</f>
        <v>41339.595533333355</v>
      </c>
    </row>
    <row r="59" spans="1:19" x14ac:dyDescent="0.3">
      <c r="A59" s="4" t="s">
        <v>57</v>
      </c>
      <c r="B59" s="22">
        <f>'Caso 2 DEV SAC'!F53</f>
        <v>23734.293900000004</v>
      </c>
    </row>
    <row r="60" spans="1:19" x14ac:dyDescent="0.3">
      <c r="A60" s="50" t="s">
        <v>58</v>
      </c>
      <c r="B60" s="51">
        <f>B58-B59</f>
        <v>17605.301633333351</v>
      </c>
    </row>
  </sheetData>
  <dataValidations disablePrompts="1" count="2">
    <dataValidation type="whole" operator="equal" allowBlank="1" showInputMessage="1" showErrorMessage="1" error="Tope 5%, No Modificar" sqref="B38:M38">
      <formula1>1234</formula1>
    </dataValidation>
    <dataValidation type="whole" operator="equal" allowBlank="1" showInputMessage="1" showErrorMessage="1" error="Tope 5% No Modificar_x000a_" sqref="B36:M36 B34:M34">
      <formula1>1234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showGridLines="0" topLeftCell="A25" workbookViewId="0">
      <selection activeCell="C59" sqref="C59"/>
    </sheetView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230000</v>
      </c>
      <c r="C4" s="11">
        <v>230000</v>
      </c>
      <c r="D4" s="11">
        <v>230000</v>
      </c>
      <c r="E4" s="11">
        <v>230000</v>
      </c>
      <c r="F4" s="11">
        <v>230000</v>
      </c>
      <c r="G4" s="11">
        <v>230000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243000</v>
      </c>
      <c r="C9" s="17">
        <f t="shared" si="0"/>
        <v>244000</v>
      </c>
      <c r="D9" s="17">
        <f t="shared" si="0"/>
        <v>240000</v>
      </c>
      <c r="E9" s="17">
        <f t="shared" si="0"/>
        <v>243000</v>
      </c>
      <c r="F9" s="17">
        <f t="shared" si="0"/>
        <v>246000</v>
      </c>
      <c r="G9" s="17">
        <f t="shared" si="0"/>
        <v>247000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26730</v>
      </c>
      <c r="C10" s="11">
        <f t="shared" ref="C10:M10" si="1">C9*0.11</f>
        <v>26840</v>
      </c>
      <c r="D10" s="11">
        <f t="shared" si="1"/>
        <v>26400</v>
      </c>
      <c r="E10" s="11">
        <f t="shared" si="1"/>
        <v>26730</v>
      </c>
      <c r="F10" s="11">
        <f t="shared" si="1"/>
        <v>27060</v>
      </c>
      <c r="G10" s="11">
        <f t="shared" si="1"/>
        <v>27170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7290</v>
      </c>
      <c r="C11" s="11">
        <f t="shared" ref="C11:M11" si="2">C9*0.03</f>
        <v>7320</v>
      </c>
      <c r="D11" s="11">
        <f t="shared" si="2"/>
        <v>7200</v>
      </c>
      <c r="E11" s="11">
        <f t="shared" si="2"/>
        <v>7290</v>
      </c>
      <c r="F11" s="11">
        <f t="shared" si="2"/>
        <v>7380</v>
      </c>
      <c r="G11" s="11">
        <f t="shared" si="2"/>
        <v>7410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7290</v>
      </c>
      <c r="C12" s="11">
        <f t="shared" ref="C12:M12" si="3">C9*0.03</f>
        <v>7320</v>
      </c>
      <c r="D12" s="11">
        <f t="shared" si="3"/>
        <v>7200</v>
      </c>
      <c r="E12" s="11">
        <f t="shared" si="3"/>
        <v>7290</v>
      </c>
      <c r="F12" s="11">
        <f t="shared" si="3"/>
        <v>7380</v>
      </c>
      <c r="G12" s="11">
        <f t="shared" si="3"/>
        <v>7410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41310</v>
      </c>
      <c r="C13" s="19">
        <f t="shared" ref="C13:M13" si="4">SUM(C10:C12)</f>
        <v>41480</v>
      </c>
      <c r="D13" s="19">
        <f t="shared" si="4"/>
        <v>40800</v>
      </c>
      <c r="E13" s="19">
        <f t="shared" si="4"/>
        <v>41310</v>
      </c>
      <c r="F13" s="19">
        <f t="shared" si="4"/>
        <v>41820</v>
      </c>
      <c r="G13" s="19">
        <f t="shared" si="4"/>
        <v>41990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201690</v>
      </c>
      <c r="C14" s="19">
        <f t="shared" si="5"/>
        <v>202520</v>
      </c>
      <c r="D14" s="19">
        <f t="shared" si="5"/>
        <v>199200</v>
      </c>
      <c r="E14" s="19">
        <f t="shared" si="5"/>
        <v>201690</v>
      </c>
      <c r="F14" s="19">
        <f t="shared" si="5"/>
        <v>204180</v>
      </c>
      <c r="G14" s="19">
        <f t="shared" si="5"/>
        <v>205010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243000</v>
      </c>
      <c r="C16" s="24">
        <f t="shared" ref="C16:M16" si="6">C9</f>
        <v>244000</v>
      </c>
      <c r="D16" s="24">
        <f t="shared" si="6"/>
        <v>240000</v>
      </c>
      <c r="E16" s="24">
        <f t="shared" si="6"/>
        <v>243000</v>
      </c>
      <c r="F16" s="24">
        <f t="shared" si="6"/>
        <v>246000</v>
      </c>
      <c r="G16" s="24">
        <f t="shared" si="6"/>
        <v>247000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243000</v>
      </c>
      <c r="C17" s="43">
        <f>(B9+C9)/2</f>
        <v>243500</v>
      </c>
      <c r="D17" s="43">
        <f>(B9+C9+D9)/3</f>
        <v>242333.33333333334</v>
      </c>
      <c r="E17" s="43">
        <f>(B9+C9+D9+E9)/4</f>
        <v>242500</v>
      </c>
      <c r="F17" s="43">
        <f>(B9+C9+D9+E9+F9)/5</f>
        <v>243200</v>
      </c>
      <c r="G17" s="43">
        <f>(B9+C9+D9+E9+F14+G14)/6</f>
        <v>229865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201690</v>
      </c>
      <c r="C22" s="11">
        <f>C14+B22</f>
        <v>404210</v>
      </c>
      <c r="D22" s="11">
        <f t="shared" ref="D22:M22" si="8">D14+C22</f>
        <v>603410</v>
      </c>
      <c r="E22" s="11">
        <f t="shared" si="8"/>
        <v>805100</v>
      </c>
      <c r="F22" s="11">
        <f t="shared" si="8"/>
        <v>1009280</v>
      </c>
      <c r="G22" s="11">
        <f t="shared" si="8"/>
        <v>1214290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201690</v>
      </c>
      <c r="C25" s="19">
        <f t="shared" ref="C25:G25" si="10">SUM(C22:C24)</f>
        <v>404210</v>
      </c>
      <c r="D25" s="19">
        <f t="shared" si="10"/>
        <v>603410</v>
      </c>
      <c r="E25" s="19">
        <f t="shared" si="10"/>
        <v>805100</v>
      </c>
      <c r="F25" s="19">
        <f t="shared" si="10"/>
        <v>1009280</v>
      </c>
      <c r="G25" s="19">
        <f t="shared" si="10"/>
        <v>1214290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201690</v>
      </c>
      <c r="C32" s="19">
        <f t="shared" ref="C32:M32" si="13">C25-C31</f>
        <v>404210</v>
      </c>
      <c r="D32" s="19">
        <f t="shared" si="13"/>
        <v>603410</v>
      </c>
      <c r="E32" s="19">
        <f t="shared" si="13"/>
        <v>805100</v>
      </c>
      <c r="F32" s="19">
        <f t="shared" si="13"/>
        <v>1009280</v>
      </c>
      <c r="G32" s="19">
        <f t="shared" si="13"/>
        <v>1214290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ht="15" x14ac:dyDescent="0.25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37"/>
      <c r="C45" s="37"/>
      <c r="D45" s="37"/>
      <c r="E45" s="37"/>
      <c r="F45" s="37"/>
      <c r="G45" s="48">
        <v>272565.96999999997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49">
        <v>28900</v>
      </c>
      <c r="C47" s="49">
        <v>28104</v>
      </c>
      <c r="D47" s="49">
        <v>34309</v>
      </c>
      <c r="E47" s="49">
        <v>29968</v>
      </c>
      <c r="F47" s="49">
        <v>28634</v>
      </c>
      <c r="G47" s="11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28900</v>
      </c>
      <c r="C48" s="11">
        <f>B47+C47</f>
        <v>57004</v>
      </c>
      <c r="D48" s="11">
        <f>B47+C47+D47</f>
        <v>91313</v>
      </c>
      <c r="E48" s="11">
        <f>B47+C47+D47+E47</f>
        <v>121281</v>
      </c>
      <c r="F48" s="11">
        <f>B47+C47+D47+E47+F47</f>
        <v>149915</v>
      </c>
      <c r="G48" s="11">
        <f>F48</f>
        <v>149915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ht="15" x14ac:dyDescent="0.25">
      <c r="A49" s="18" t="s">
        <v>43</v>
      </c>
      <c r="B49" s="19">
        <f>B40+B42+B44+B46+B48</f>
        <v>160868.17000000001</v>
      </c>
      <c r="C49" s="19">
        <f t="shared" ref="C49:F49" si="18">C40+C42+C44+C46+C48</f>
        <v>320940.33999999997</v>
      </c>
      <c r="D49" s="19">
        <f t="shared" si="18"/>
        <v>487217.51</v>
      </c>
      <c r="E49" s="19">
        <f t="shared" si="18"/>
        <v>649153.68999999994</v>
      </c>
      <c r="F49" s="19">
        <f t="shared" si="18"/>
        <v>809755.85</v>
      </c>
      <c r="G49" s="19">
        <f>G40+G42+G44+G46+G48</f>
        <v>941724.03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ht="15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25">
      <c r="A51" s="32" t="s">
        <v>44</v>
      </c>
      <c r="B51" s="33">
        <f>B25-B39-B49</f>
        <v>40821.829999999987</v>
      </c>
      <c r="C51" s="33">
        <f>C25-C49-C39</f>
        <v>83269.660000000033</v>
      </c>
      <c r="D51" s="33">
        <f t="shared" ref="D51:M51" si="20">D25-D49-D39</f>
        <v>116192.48999999999</v>
      </c>
      <c r="E51" s="33">
        <f t="shared" si="20"/>
        <v>155946.31000000006</v>
      </c>
      <c r="F51" s="33">
        <f>F25-F49-F39</f>
        <v>199524.15000000002</v>
      </c>
      <c r="G51" s="33">
        <f t="shared" si="20"/>
        <v>272565.96999999997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ht="15" x14ac:dyDescent="0.25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ht="15" x14ac:dyDescent="0.25">
      <c r="A53" s="35" t="s">
        <v>45</v>
      </c>
      <c r="B53" s="1">
        <f>3321.07+(0.19*(B51-32400.67))</f>
        <v>4921.0903999999982</v>
      </c>
      <c r="C53" s="1">
        <f>6642.14+(0.19*(C51-64801.34))</f>
        <v>10151.120800000008</v>
      </c>
      <c r="D53" s="1">
        <f>9963.21+(0.19*(D51-97202.01))</f>
        <v>13571.401199999998</v>
      </c>
      <c r="E53" s="1">
        <f>13284.27+(0.19*(E51-129602.67))</f>
        <v>18289.561600000012</v>
      </c>
      <c r="F53" s="1">
        <f>16605.34+(0.19*(F51-162003.34))</f>
        <v>23734.293900000004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ht="15" x14ac:dyDescent="0.25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4921.0903999999982</v>
      </c>
      <c r="C55" s="1">
        <f>C53-B55</f>
        <v>5230.0304000000096</v>
      </c>
      <c r="D55" s="1">
        <f>D53-C55-B55</f>
        <v>3420.2803999999915</v>
      </c>
      <c r="E55" s="1">
        <f>E53-D55-C55-B55</f>
        <v>4718.1604000000107</v>
      </c>
      <c r="F55" s="1">
        <f>F53-E55-D55-C55-B55</f>
        <v>5444.7322999999915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ht="15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ht="15" x14ac:dyDescent="0.25">
      <c r="C57" s="5"/>
    </row>
  </sheetData>
  <dataValidations disablePrompts="1" count="2">
    <dataValidation type="whole" operator="equal" allowBlank="1" showInputMessage="1" showErrorMessage="1" error="Tope 5% No Modificar_x000a_" sqref="B36:M36 B34:M34">
      <formula1>1234</formula1>
    </dataValidation>
    <dataValidation type="whole" operator="equal" allowBlank="1" showInputMessage="1" showErrorMessage="1" error="Tope 5%, No Modificar" sqref="B38:M38">
      <formula1>1234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topLeftCell="A25" workbookViewId="0">
      <selection activeCell="B60" sqref="B60"/>
    </sheetView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250000</v>
      </c>
      <c r="C4" s="11">
        <v>250000</v>
      </c>
      <c r="D4" s="11">
        <v>250000</v>
      </c>
      <c r="E4" s="11">
        <v>250000</v>
      </c>
      <c r="F4" s="11">
        <v>250000</v>
      </c>
      <c r="G4" s="11">
        <v>250000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hidden="1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hidden="1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263000</v>
      </c>
      <c r="C9" s="17">
        <f t="shared" si="0"/>
        <v>264000</v>
      </c>
      <c r="D9" s="17">
        <f t="shared" si="0"/>
        <v>260000</v>
      </c>
      <c r="E9" s="17">
        <f t="shared" si="0"/>
        <v>263000</v>
      </c>
      <c r="F9" s="17">
        <f t="shared" si="0"/>
        <v>266000</v>
      </c>
      <c r="G9" s="17">
        <f t="shared" si="0"/>
        <v>267000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28930</v>
      </c>
      <c r="C10" s="11">
        <f t="shared" ref="C10:M10" si="1">C9*0.11</f>
        <v>29040</v>
      </c>
      <c r="D10" s="11">
        <f t="shared" si="1"/>
        <v>28600</v>
      </c>
      <c r="E10" s="11">
        <f t="shared" si="1"/>
        <v>28930</v>
      </c>
      <c r="F10" s="11">
        <f t="shared" si="1"/>
        <v>29260</v>
      </c>
      <c r="G10" s="11">
        <f t="shared" si="1"/>
        <v>29370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7890</v>
      </c>
      <c r="C11" s="11">
        <f t="shared" ref="C11:M11" si="2">C9*0.03</f>
        <v>7920</v>
      </c>
      <c r="D11" s="11">
        <f t="shared" si="2"/>
        <v>7800</v>
      </c>
      <c r="E11" s="11">
        <f t="shared" si="2"/>
        <v>7890</v>
      </c>
      <c r="F11" s="11">
        <f t="shared" si="2"/>
        <v>7980</v>
      </c>
      <c r="G11" s="11">
        <f t="shared" si="2"/>
        <v>8010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7890</v>
      </c>
      <c r="C12" s="11">
        <f t="shared" ref="C12:M12" si="3">C9*0.03</f>
        <v>7920</v>
      </c>
      <c r="D12" s="11">
        <f t="shared" si="3"/>
        <v>7800</v>
      </c>
      <c r="E12" s="11">
        <f t="shared" si="3"/>
        <v>7890</v>
      </c>
      <c r="F12" s="11">
        <f t="shared" si="3"/>
        <v>7980</v>
      </c>
      <c r="G12" s="11">
        <f t="shared" si="3"/>
        <v>8010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44710</v>
      </c>
      <c r="C13" s="19">
        <f t="shared" ref="C13:M13" si="4">SUM(C10:C12)</f>
        <v>44880</v>
      </c>
      <c r="D13" s="19">
        <f t="shared" si="4"/>
        <v>44200</v>
      </c>
      <c r="E13" s="19">
        <f t="shared" si="4"/>
        <v>44710</v>
      </c>
      <c r="F13" s="19">
        <f t="shared" si="4"/>
        <v>45220</v>
      </c>
      <c r="G13" s="19">
        <f t="shared" si="4"/>
        <v>45390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218290</v>
      </c>
      <c r="C14" s="19">
        <f t="shared" si="5"/>
        <v>219120</v>
      </c>
      <c r="D14" s="19">
        <f t="shared" si="5"/>
        <v>215800</v>
      </c>
      <c r="E14" s="19">
        <f t="shared" si="5"/>
        <v>218290</v>
      </c>
      <c r="F14" s="19">
        <f t="shared" si="5"/>
        <v>220780</v>
      </c>
      <c r="G14" s="19">
        <f t="shared" si="5"/>
        <v>221610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263000</v>
      </c>
      <c r="C16" s="24">
        <f t="shared" ref="C16:M16" si="6">C9</f>
        <v>264000</v>
      </c>
      <c r="D16" s="24">
        <f t="shared" si="6"/>
        <v>260000</v>
      </c>
      <c r="E16" s="24">
        <f t="shared" si="6"/>
        <v>263000</v>
      </c>
      <c r="F16" s="24">
        <f t="shared" si="6"/>
        <v>266000</v>
      </c>
      <c r="G16" s="24">
        <f t="shared" si="6"/>
        <v>267000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263000</v>
      </c>
      <c r="C17" s="43">
        <f>(B9+C9)/2</f>
        <v>263500</v>
      </c>
      <c r="D17" s="43">
        <f>(B9+C9+D9)/3</f>
        <v>262333.33333333331</v>
      </c>
      <c r="E17" s="43">
        <f>(B9+C9+D9+E9)/4</f>
        <v>262500</v>
      </c>
      <c r="F17" s="43">
        <f>(B9+C9+D9+E9+F9)/5</f>
        <v>263200</v>
      </c>
      <c r="G17" s="43">
        <f>(B9+C9+D9+E9+F14+G14)/6</f>
        <v>248731.66666666666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218290</v>
      </c>
      <c r="C22" s="11">
        <f>C14+B22</f>
        <v>437410</v>
      </c>
      <c r="D22" s="11">
        <f t="shared" ref="D22:M22" si="8">D14+C22</f>
        <v>653210</v>
      </c>
      <c r="E22" s="11">
        <f t="shared" si="8"/>
        <v>871500</v>
      </c>
      <c r="F22" s="11">
        <f t="shared" si="8"/>
        <v>1092280</v>
      </c>
      <c r="G22" s="11">
        <f t="shared" si="8"/>
        <v>1313890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f>B22/12</f>
        <v>18190.833333333332</v>
      </c>
      <c r="C23" s="11">
        <f>C22/12</f>
        <v>36450.833333333336</v>
      </c>
      <c r="D23" s="11">
        <f>D22/12</f>
        <v>54434.166666666664</v>
      </c>
      <c r="E23" s="11">
        <f>E22/12</f>
        <v>72625</v>
      </c>
      <c r="F23" s="11">
        <f>F22/12</f>
        <v>91023.333333333328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236480.83333333334</v>
      </c>
      <c r="C25" s="19">
        <f t="shared" ref="C25:G25" si="10">SUM(C22:C24)</f>
        <v>473860.83333333331</v>
      </c>
      <c r="D25" s="19">
        <f t="shared" si="10"/>
        <v>707644.16666666663</v>
      </c>
      <c r="E25" s="19">
        <f t="shared" si="10"/>
        <v>944125</v>
      </c>
      <c r="F25" s="19">
        <f t="shared" si="10"/>
        <v>1183303.3333333333</v>
      </c>
      <c r="G25" s="19">
        <f t="shared" si="10"/>
        <v>1313890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236480.83333333334</v>
      </c>
      <c r="C32" s="19">
        <f t="shared" ref="C32:M32" si="13">C25-C31</f>
        <v>473860.83333333331</v>
      </c>
      <c r="D32" s="19">
        <f t="shared" si="13"/>
        <v>707644.16666666663</v>
      </c>
      <c r="E32" s="19">
        <f t="shared" si="13"/>
        <v>944125</v>
      </c>
      <c r="F32" s="19">
        <f t="shared" si="13"/>
        <v>1183303.3333333333</v>
      </c>
      <c r="G32" s="19">
        <f t="shared" si="13"/>
        <v>1313890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ht="15" x14ac:dyDescent="0.25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52"/>
      <c r="C45" s="52"/>
      <c r="D45" s="52"/>
      <c r="E45" s="52"/>
      <c r="F45" s="52"/>
      <c r="G45" s="52">
        <v>522080.97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52"/>
      <c r="C46" s="52"/>
      <c r="D46" s="52"/>
      <c r="E46" s="52"/>
      <c r="F46" s="52"/>
      <c r="G46" s="52">
        <f>G45</f>
        <v>522080.97</v>
      </c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53"/>
      <c r="C47" s="53"/>
      <c r="D47" s="53"/>
      <c r="E47" s="53"/>
      <c r="F47" s="53"/>
      <c r="G47" s="53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0</v>
      </c>
      <c r="C48" s="11">
        <f>B47+C47</f>
        <v>0</v>
      </c>
      <c r="D48" s="11">
        <f>B47+C47+D47</f>
        <v>0</v>
      </c>
      <c r="E48" s="11">
        <f>B47+C47+D47+E47</f>
        <v>0</v>
      </c>
      <c r="F48" s="11">
        <f>B47+C47+D47+E47+F47</f>
        <v>0</v>
      </c>
      <c r="G48" s="11">
        <f>F48</f>
        <v>0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ht="15" x14ac:dyDescent="0.25">
      <c r="A49" s="18" t="s">
        <v>43</v>
      </c>
      <c r="B49" s="19">
        <f>B40+B42+B44+B46+B48</f>
        <v>131968.17000000001</v>
      </c>
      <c r="C49" s="19">
        <f t="shared" ref="C49:F49" si="18">C40+C42+C44+C46+C48</f>
        <v>263936.33999999997</v>
      </c>
      <c r="D49" s="19">
        <f t="shared" si="18"/>
        <v>395904.51</v>
      </c>
      <c r="E49" s="19">
        <f t="shared" si="18"/>
        <v>527872.68999999994</v>
      </c>
      <c r="F49" s="19">
        <f t="shared" si="18"/>
        <v>659840.85</v>
      </c>
      <c r="G49" s="19">
        <f>G40+G42+G44+G46+G48</f>
        <v>1313890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ht="15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25">
      <c r="A51" s="32" t="s">
        <v>44</v>
      </c>
      <c r="B51" s="33">
        <f>B25-B39-B49</f>
        <v>104512.66333333333</v>
      </c>
      <c r="C51" s="33">
        <f>C25-C49-C39</f>
        <v>209924.49333333335</v>
      </c>
      <c r="D51" s="33">
        <f t="shared" ref="D51:M51" si="20">D25-D49-D39</f>
        <v>311739.65666666662</v>
      </c>
      <c r="E51" s="33">
        <f t="shared" si="20"/>
        <v>416252.31000000006</v>
      </c>
      <c r="F51" s="33">
        <f>F25-F49-F39</f>
        <v>523462.48333333328</v>
      </c>
      <c r="G51" s="33">
        <f t="shared" si="20"/>
        <v>0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ht="15" x14ac:dyDescent="0.25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ht="15" x14ac:dyDescent="0.25">
      <c r="A53" s="35" t="s">
        <v>45</v>
      </c>
      <c r="B53" s="1">
        <f>18873.39+(0.31*(B51-97202))</f>
        <v>21139.695633333333</v>
      </c>
      <c r="C53" s="1">
        <f>37746.78+(0.31*(C51-194404))</f>
        <v>42558.132933333334</v>
      </c>
      <c r="D53" s="1">
        <f>56620.17+(0.31*(D51-291606.01))</f>
        <v>62861.600466666649</v>
      </c>
      <c r="E53" s="1">
        <f>75493.55+(0.31*(E51-388801.01))</f>
        <v>84003.453000000023</v>
      </c>
      <c r="F53" s="1">
        <f>94366.94+(0.31*(F51-486010.01))</f>
        <v>105977.20673333331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ht="15" x14ac:dyDescent="0.25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21139.695633333333</v>
      </c>
      <c r="C55" s="1">
        <f>C53-B55</f>
        <v>21418.437300000001</v>
      </c>
      <c r="D55" s="1">
        <f>D53-C55-B55</f>
        <v>20303.467533333318</v>
      </c>
      <c r="E55" s="1">
        <f>E53-D55-C55-B55</f>
        <v>21141.852533333371</v>
      </c>
      <c r="F55" s="1">
        <f>F53-E55-D55-C55-B55</f>
        <v>21973.753733333291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ht="15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ht="15" x14ac:dyDescent="0.25">
      <c r="C57" s="5"/>
    </row>
    <row r="58" spans="1:19" ht="15" x14ac:dyDescent="0.25">
      <c r="A58" s="4" t="s">
        <v>56</v>
      </c>
      <c r="B58" s="22">
        <f>F53</f>
        <v>105977.20673333331</v>
      </c>
    </row>
    <row r="59" spans="1:19" x14ac:dyDescent="0.3">
      <c r="A59" s="4" t="s">
        <v>57</v>
      </c>
      <c r="B59" s="22">
        <f>'Caso 3 DEV SAC'!F53</f>
        <v>84240.108800000016</v>
      </c>
    </row>
    <row r="60" spans="1:19" ht="15" x14ac:dyDescent="0.25">
      <c r="A60" s="50" t="s">
        <v>58</v>
      </c>
      <c r="B60" s="51">
        <f>B58-B59</f>
        <v>21737.097933333294</v>
      </c>
    </row>
  </sheetData>
  <dataValidations count="2">
    <dataValidation type="whole" operator="equal" allowBlank="1" showInputMessage="1" showErrorMessage="1" error="Tope 5% No Modificar_x000a_" sqref="B36:M36 B34:M34">
      <formula1>1234</formula1>
    </dataValidation>
    <dataValidation type="whole" operator="equal" allowBlank="1" showInputMessage="1" showErrorMessage="1" error="Tope 5%, No Modificar" sqref="B38:M38">
      <formula1>1234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showGridLines="0" workbookViewId="0"/>
  </sheetViews>
  <sheetFormatPr baseColWidth="10" defaultColWidth="11.44140625" defaultRowHeight="14.4" x14ac:dyDescent="0.3"/>
  <cols>
    <col min="1" max="1" width="40.109375" style="2" bestFit="1" customWidth="1"/>
    <col min="2" max="7" width="12.6640625" style="2" customWidth="1"/>
    <col min="8" max="13" width="12.6640625" style="2" hidden="1" customWidth="1"/>
    <col min="14" max="14" width="11.44140625" style="2"/>
    <col min="15" max="15" width="27" style="2" bestFit="1" customWidth="1"/>
    <col min="16" max="16384" width="11.44140625" style="2"/>
  </cols>
  <sheetData>
    <row r="1" spans="1:19" x14ac:dyDescent="0.3">
      <c r="A1" s="4" t="s">
        <v>0</v>
      </c>
    </row>
    <row r="2" spans="1:19" ht="15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5"/>
      <c r="Q2" s="5"/>
      <c r="R2" s="5"/>
      <c r="S2" s="5"/>
    </row>
    <row r="3" spans="1:19" s="9" customFormat="1" ht="15" x14ac:dyDescent="0.25">
      <c r="A3" s="6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7"/>
      <c r="O3" s="8"/>
      <c r="P3" s="7"/>
      <c r="Q3" s="7"/>
      <c r="R3" s="7"/>
      <c r="S3" s="7"/>
    </row>
    <row r="4" spans="1:19" s="9" customFormat="1" ht="15" x14ac:dyDescent="0.25">
      <c r="A4" s="10" t="s">
        <v>13</v>
      </c>
      <c r="B4" s="11">
        <v>250000</v>
      </c>
      <c r="C4" s="11">
        <v>250000</v>
      </c>
      <c r="D4" s="11">
        <v>250000</v>
      </c>
      <c r="E4" s="11">
        <v>250000</v>
      </c>
      <c r="F4" s="11">
        <v>250000</v>
      </c>
      <c r="G4" s="11">
        <v>250000</v>
      </c>
      <c r="H4" s="11">
        <v>300000</v>
      </c>
      <c r="I4" s="11">
        <v>300000</v>
      </c>
      <c r="J4" s="11">
        <v>300000</v>
      </c>
      <c r="K4" s="11">
        <v>300000</v>
      </c>
      <c r="L4" s="11">
        <v>300000</v>
      </c>
      <c r="M4" s="11">
        <v>300000</v>
      </c>
      <c r="N4" s="7"/>
      <c r="P4" s="7"/>
      <c r="Q4" s="7"/>
      <c r="R4" s="7"/>
      <c r="S4" s="7"/>
    </row>
    <row r="5" spans="1:19" s="9" customFormat="1" x14ac:dyDescent="0.3">
      <c r="A5" s="10" t="s">
        <v>14</v>
      </c>
      <c r="B5" s="11">
        <v>8000</v>
      </c>
      <c r="C5" s="11">
        <v>8000</v>
      </c>
      <c r="D5" s="11">
        <v>8000</v>
      </c>
      <c r="E5" s="11">
        <v>8000</v>
      </c>
      <c r="F5" s="11">
        <v>10000</v>
      </c>
      <c r="G5" s="11">
        <v>10000</v>
      </c>
      <c r="H5" s="11"/>
      <c r="I5" s="11"/>
      <c r="J5" s="11"/>
      <c r="K5" s="11"/>
      <c r="L5" s="11"/>
      <c r="M5" s="11"/>
      <c r="N5" s="7"/>
      <c r="P5" s="7"/>
      <c r="Q5" s="7"/>
      <c r="R5" s="7"/>
      <c r="S5" s="7"/>
    </row>
    <row r="6" spans="1:19" s="9" customFormat="1" ht="15" x14ac:dyDescent="0.25">
      <c r="A6" s="10" t="s">
        <v>47</v>
      </c>
      <c r="B6" s="11">
        <v>5000</v>
      </c>
      <c r="C6" s="11">
        <v>6000</v>
      </c>
      <c r="D6" s="11">
        <v>2000</v>
      </c>
      <c r="E6" s="11">
        <v>5000</v>
      </c>
      <c r="F6" s="11">
        <v>6000</v>
      </c>
      <c r="G6" s="11">
        <v>7000</v>
      </c>
      <c r="H6" s="11"/>
      <c r="I6" s="11"/>
      <c r="J6" s="11"/>
      <c r="K6" s="11"/>
      <c r="L6" s="11"/>
      <c r="M6" s="11"/>
      <c r="N6" s="7"/>
      <c r="P6" s="7"/>
      <c r="Q6" s="7"/>
      <c r="R6" s="7"/>
      <c r="S6" s="7"/>
    </row>
    <row r="7" spans="1:19" s="9" customFormat="1" ht="15" hidden="1" x14ac:dyDescent="0.25">
      <c r="A7" s="12" t="s">
        <v>15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7"/>
      <c r="P7" s="7"/>
      <c r="Q7" s="7"/>
      <c r="R7" s="7"/>
      <c r="S7" s="7"/>
    </row>
    <row r="8" spans="1:19" s="9" customFormat="1" ht="15" hidden="1" x14ac:dyDescent="0.25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  <c r="O8" s="15"/>
      <c r="P8" s="7"/>
      <c r="Q8" s="7"/>
      <c r="R8" s="7"/>
      <c r="S8" s="7"/>
    </row>
    <row r="9" spans="1:19" s="9" customFormat="1" ht="15" x14ac:dyDescent="0.25">
      <c r="A9" s="16" t="s">
        <v>50</v>
      </c>
      <c r="B9" s="17">
        <f t="shared" ref="B9:M9" si="0">SUM(B4:B8)</f>
        <v>263000</v>
      </c>
      <c r="C9" s="17">
        <f t="shared" si="0"/>
        <v>264000</v>
      </c>
      <c r="D9" s="17">
        <f t="shared" si="0"/>
        <v>260000</v>
      </c>
      <c r="E9" s="17">
        <f t="shared" si="0"/>
        <v>263000</v>
      </c>
      <c r="F9" s="17">
        <f t="shared" si="0"/>
        <v>266000</v>
      </c>
      <c r="G9" s="17">
        <f t="shared" si="0"/>
        <v>267000</v>
      </c>
      <c r="H9" s="17">
        <f t="shared" si="0"/>
        <v>300000</v>
      </c>
      <c r="I9" s="17">
        <f t="shared" si="0"/>
        <v>300000</v>
      </c>
      <c r="J9" s="17">
        <f t="shared" si="0"/>
        <v>300000</v>
      </c>
      <c r="K9" s="17">
        <f t="shared" si="0"/>
        <v>300000</v>
      </c>
      <c r="L9" s="17">
        <f t="shared" si="0"/>
        <v>300000</v>
      </c>
      <c r="M9" s="17">
        <f t="shared" si="0"/>
        <v>300000</v>
      </c>
      <c r="N9" s="7"/>
      <c r="P9" s="7"/>
      <c r="Q9" s="7"/>
      <c r="R9" s="7"/>
      <c r="S9" s="7"/>
    </row>
    <row r="10" spans="1:19" x14ac:dyDescent="0.3">
      <c r="A10" s="10" t="s">
        <v>17</v>
      </c>
      <c r="B10" s="11">
        <f>B9*0.11</f>
        <v>28930</v>
      </c>
      <c r="C10" s="11">
        <f t="shared" ref="C10:M10" si="1">C9*0.11</f>
        <v>29040</v>
      </c>
      <c r="D10" s="11">
        <f t="shared" si="1"/>
        <v>28600</v>
      </c>
      <c r="E10" s="11">
        <f t="shared" si="1"/>
        <v>28930</v>
      </c>
      <c r="F10" s="11">
        <f t="shared" si="1"/>
        <v>29260</v>
      </c>
      <c r="G10" s="11">
        <f t="shared" si="1"/>
        <v>29370</v>
      </c>
      <c r="H10" s="11">
        <f t="shared" si="1"/>
        <v>33000</v>
      </c>
      <c r="I10" s="11">
        <f t="shared" si="1"/>
        <v>33000</v>
      </c>
      <c r="J10" s="11">
        <f t="shared" si="1"/>
        <v>33000</v>
      </c>
      <c r="K10" s="11">
        <f t="shared" si="1"/>
        <v>33000</v>
      </c>
      <c r="L10" s="11">
        <f t="shared" si="1"/>
        <v>33000</v>
      </c>
      <c r="M10" s="11">
        <f t="shared" si="1"/>
        <v>33000</v>
      </c>
      <c r="N10" s="5"/>
      <c r="O10" s="5"/>
      <c r="P10" s="5"/>
      <c r="Q10" s="5"/>
      <c r="R10" s="5"/>
      <c r="S10" s="5"/>
    </row>
    <row r="11" spans="1:19" ht="15" x14ac:dyDescent="0.25">
      <c r="A11" s="10" t="s">
        <v>18</v>
      </c>
      <c r="B11" s="11">
        <f>B9*0.03</f>
        <v>7890</v>
      </c>
      <c r="C11" s="11">
        <f t="shared" ref="C11:M11" si="2">C9*0.03</f>
        <v>7920</v>
      </c>
      <c r="D11" s="11">
        <f t="shared" si="2"/>
        <v>7800</v>
      </c>
      <c r="E11" s="11">
        <f t="shared" si="2"/>
        <v>7890</v>
      </c>
      <c r="F11" s="11">
        <f t="shared" si="2"/>
        <v>7980</v>
      </c>
      <c r="G11" s="11">
        <f t="shared" si="2"/>
        <v>8010</v>
      </c>
      <c r="H11" s="11">
        <f t="shared" si="2"/>
        <v>9000</v>
      </c>
      <c r="I11" s="11">
        <f t="shared" si="2"/>
        <v>9000</v>
      </c>
      <c r="J11" s="11">
        <f t="shared" si="2"/>
        <v>9000</v>
      </c>
      <c r="K11" s="11">
        <f t="shared" si="2"/>
        <v>9000</v>
      </c>
      <c r="L11" s="11">
        <f t="shared" si="2"/>
        <v>9000</v>
      </c>
      <c r="M11" s="11">
        <f t="shared" si="2"/>
        <v>9000</v>
      </c>
      <c r="N11" s="5"/>
      <c r="O11" s="5"/>
      <c r="P11" s="5"/>
      <c r="Q11" s="5"/>
      <c r="R11" s="5"/>
      <c r="S11" s="5"/>
    </row>
    <row r="12" spans="1:19" ht="15" x14ac:dyDescent="0.25">
      <c r="A12" s="10" t="s">
        <v>19</v>
      </c>
      <c r="B12" s="11">
        <f>B9*0.03</f>
        <v>7890</v>
      </c>
      <c r="C12" s="11">
        <f t="shared" ref="C12:M12" si="3">C9*0.03</f>
        <v>7920</v>
      </c>
      <c r="D12" s="11">
        <f t="shared" si="3"/>
        <v>7800</v>
      </c>
      <c r="E12" s="11">
        <f t="shared" si="3"/>
        <v>7890</v>
      </c>
      <c r="F12" s="11">
        <f t="shared" si="3"/>
        <v>7980</v>
      </c>
      <c r="G12" s="11">
        <f t="shared" si="3"/>
        <v>8010</v>
      </c>
      <c r="H12" s="11">
        <f t="shared" si="3"/>
        <v>9000</v>
      </c>
      <c r="I12" s="11">
        <f t="shared" si="3"/>
        <v>9000</v>
      </c>
      <c r="J12" s="11">
        <f t="shared" si="3"/>
        <v>9000</v>
      </c>
      <c r="K12" s="11">
        <f t="shared" si="3"/>
        <v>9000</v>
      </c>
      <c r="L12" s="11">
        <f t="shared" si="3"/>
        <v>9000</v>
      </c>
      <c r="M12" s="11">
        <f t="shared" si="3"/>
        <v>9000</v>
      </c>
      <c r="N12" s="5"/>
      <c r="O12" s="5"/>
      <c r="P12" s="5"/>
      <c r="Q12" s="5"/>
      <c r="R12" s="5"/>
      <c r="S12" s="5"/>
    </row>
    <row r="13" spans="1:19" ht="15" x14ac:dyDescent="0.25">
      <c r="A13" s="18" t="s">
        <v>20</v>
      </c>
      <c r="B13" s="19">
        <f>SUM(B10:B12)</f>
        <v>44710</v>
      </c>
      <c r="C13" s="19">
        <f t="shared" ref="C13:M13" si="4">SUM(C10:C12)</f>
        <v>44880</v>
      </c>
      <c r="D13" s="19">
        <f t="shared" si="4"/>
        <v>44200</v>
      </c>
      <c r="E13" s="19">
        <f t="shared" si="4"/>
        <v>44710</v>
      </c>
      <c r="F13" s="19">
        <f t="shared" si="4"/>
        <v>45220</v>
      </c>
      <c r="G13" s="19">
        <f t="shared" si="4"/>
        <v>45390</v>
      </c>
      <c r="H13" s="19">
        <f t="shared" si="4"/>
        <v>51000</v>
      </c>
      <c r="I13" s="19">
        <f t="shared" si="4"/>
        <v>51000</v>
      </c>
      <c r="J13" s="19">
        <f t="shared" si="4"/>
        <v>51000</v>
      </c>
      <c r="K13" s="19">
        <f t="shared" si="4"/>
        <v>51000</v>
      </c>
      <c r="L13" s="19">
        <f t="shared" si="4"/>
        <v>51000</v>
      </c>
      <c r="M13" s="19">
        <f t="shared" si="4"/>
        <v>51000</v>
      </c>
      <c r="N13" s="5"/>
      <c r="O13" s="5"/>
      <c r="P13" s="5"/>
      <c r="Q13" s="5"/>
      <c r="R13" s="5"/>
      <c r="S13" s="5"/>
    </row>
    <row r="14" spans="1:19" ht="15" x14ac:dyDescent="0.25">
      <c r="A14" s="18" t="s">
        <v>21</v>
      </c>
      <c r="B14" s="19">
        <f t="shared" ref="B14:G14" si="5">B9-B13</f>
        <v>218290</v>
      </c>
      <c r="C14" s="19">
        <f t="shared" si="5"/>
        <v>219120</v>
      </c>
      <c r="D14" s="19">
        <f t="shared" si="5"/>
        <v>215800</v>
      </c>
      <c r="E14" s="19">
        <f t="shared" si="5"/>
        <v>218290</v>
      </c>
      <c r="F14" s="19">
        <f t="shared" si="5"/>
        <v>220780</v>
      </c>
      <c r="G14" s="19">
        <f t="shared" si="5"/>
        <v>221610</v>
      </c>
      <c r="H14" s="24" t="e">
        <f>H9-H13+#REF!</f>
        <v>#REF!</v>
      </c>
      <c r="I14" s="24" t="e">
        <f>I9-I13+#REF!</f>
        <v>#REF!</v>
      </c>
      <c r="J14" s="24" t="e">
        <f>J9-J13+#REF!</f>
        <v>#REF!</v>
      </c>
      <c r="K14" s="24" t="e">
        <f>K9-K13+#REF!</f>
        <v>#REF!</v>
      </c>
      <c r="L14" s="24" t="e">
        <f>L9-L13+#REF!</f>
        <v>#REF!</v>
      </c>
      <c r="M14" s="24" t="e">
        <f>M9-M13+#REF!</f>
        <v>#REF!</v>
      </c>
      <c r="N14" s="5"/>
      <c r="O14" s="5"/>
      <c r="P14" s="5"/>
      <c r="Q14" s="5"/>
      <c r="R14" s="5"/>
      <c r="S14" s="5"/>
    </row>
    <row r="15" spans="1:19" ht="15" x14ac:dyDescent="0.25">
      <c r="A15" s="45"/>
      <c r="B15" s="46"/>
      <c r="C15" s="46"/>
      <c r="D15" s="46"/>
      <c r="E15" s="46"/>
      <c r="F15" s="46"/>
      <c r="G15" s="46"/>
      <c r="H15" s="24"/>
      <c r="I15" s="24"/>
      <c r="J15" s="24"/>
      <c r="K15" s="24"/>
      <c r="L15" s="24"/>
      <c r="M15" s="24"/>
      <c r="N15" s="5"/>
      <c r="O15" s="5"/>
      <c r="P15" s="5"/>
      <c r="Q15" s="5"/>
      <c r="R15" s="5"/>
      <c r="S15" s="5"/>
    </row>
    <row r="16" spans="1:19" x14ac:dyDescent="0.3">
      <c r="A16" s="23" t="s">
        <v>52</v>
      </c>
      <c r="B16" s="24">
        <f>B9</f>
        <v>263000</v>
      </c>
      <c r="C16" s="24">
        <f t="shared" ref="C16:M16" si="6">C9</f>
        <v>264000</v>
      </c>
      <c r="D16" s="24">
        <f t="shared" si="6"/>
        <v>260000</v>
      </c>
      <c r="E16" s="24">
        <f t="shared" si="6"/>
        <v>263000</v>
      </c>
      <c r="F16" s="24">
        <f t="shared" si="6"/>
        <v>266000</v>
      </c>
      <c r="G16" s="24">
        <f t="shared" si="6"/>
        <v>267000</v>
      </c>
      <c r="H16" s="46">
        <f t="shared" si="6"/>
        <v>300000</v>
      </c>
      <c r="I16" s="46">
        <f t="shared" si="6"/>
        <v>300000</v>
      </c>
      <c r="J16" s="46">
        <f t="shared" si="6"/>
        <v>300000</v>
      </c>
      <c r="K16" s="46">
        <f t="shared" si="6"/>
        <v>300000</v>
      </c>
      <c r="L16" s="46">
        <f t="shared" si="6"/>
        <v>300000</v>
      </c>
      <c r="M16" s="46">
        <f t="shared" si="6"/>
        <v>300000</v>
      </c>
      <c r="N16" s="5"/>
      <c r="O16" s="5"/>
      <c r="P16" s="5"/>
      <c r="Q16" s="5"/>
      <c r="R16" s="5"/>
      <c r="S16" s="5"/>
    </row>
    <row r="17" spans="1:19" ht="15" x14ac:dyDescent="0.25">
      <c r="A17" s="42" t="s">
        <v>51</v>
      </c>
      <c r="B17" s="43">
        <f>B9</f>
        <v>263000</v>
      </c>
      <c r="C17" s="43">
        <f>(B9+C9)/2</f>
        <v>263500</v>
      </c>
      <c r="D17" s="43">
        <f>(B9+C9+D9)/3</f>
        <v>262333.33333333331</v>
      </c>
      <c r="E17" s="43">
        <f>(B9+C9+D9+E9)/4</f>
        <v>262500</v>
      </c>
      <c r="F17" s="43">
        <f>(B9+C9+D9+E9+F9)/5</f>
        <v>263200</v>
      </c>
      <c r="G17" s="43">
        <f>(B9+C9+D9+E9+F14+G14)/6</f>
        <v>248731.66666666666</v>
      </c>
      <c r="H17" s="22" t="e">
        <f t="shared" ref="H17:M17" si="7">AVERAGE(H14,M14)</f>
        <v>#REF!</v>
      </c>
      <c r="I17" s="22" t="e">
        <f t="shared" si="7"/>
        <v>#REF!</v>
      </c>
      <c r="J17" s="22" t="e">
        <f t="shared" si="7"/>
        <v>#REF!</v>
      </c>
      <c r="K17" s="22" t="e">
        <f t="shared" si="7"/>
        <v>#REF!</v>
      </c>
      <c r="L17" s="22" t="e">
        <f t="shared" si="7"/>
        <v>#REF!</v>
      </c>
      <c r="M17" s="22" t="e">
        <f t="shared" si="7"/>
        <v>#REF!</v>
      </c>
      <c r="N17" s="5"/>
      <c r="O17" s="5"/>
      <c r="P17" s="5"/>
      <c r="Q17" s="5"/>
      <c r="R17" s="5"/>
      <c r="S17" s="5"/>
    </row>
    <row r="18" spans="1:19" ht="15" x14ac:dyDescent="0.25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5"/>
      <c r="O18" s="5"/>
      <c r="P18" s="5"/>
      <c r="Q18" s="5"/>
      <c r="R18" s="5"/>
      <c r="S18" s="5"/>
    </row>
    <row r="19" spans="1:19" ht="15" x14ac:dyDescent="0.25">
      <c r="A19" s="4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</row>
    <row r="21" spans="1:19" s="9" customFormat="1" ht="15" x14ac:dyDescent="0.25">
      <c r="A21" s="6"/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3" t="s">
        <v>6</v>
      </c>
      <c r="H21" s="3" t="s">
        <v>7</v>
      </c>
      <c r="I21" s="3" t="s">
        <v>8</v>
      </c>
      <c r="J21" s="3" t="s">
        <v>9</v>
      </c>
      <c r="K21" s="3" t="s">
        <v>10</v>
      </c>
      <c r="L21" s="3" t="s">
        <v>11</v>
      </c>
      <c r="M21" s="3" t="s">
        <v>12</v>
      </c>
      <c r="N21" s="7"/>
      <c r="O21" s="44"/>
      <c r="P21" s="7"/>
      <c r="Q21" s="7"/>
      <c r="R21" s="7"/>
      <c r="S21" s="7"/>
    </row>
    <row r="22" spans="1:19" ht="15" x14ac:dyDescent="0.25">
      <c r="A22" s="10" t="s">
        <v>23</v>
      </c>
      <c r="B22" s="11">
        <f>B14</f>
        <v>218290</v>
      </c>
      <c r="C22" s="11">
        <f>C14+B22</f>
        <v>437410</v>
      </c>
      <c r="D22" s="11">
        <f t="shared" ref="D22:M22" si="8">D14+C22</f>
        <v>653210</v>
      </c>
      <c r="E22" s="11">
        <f t="shared" si="8"/>
        <v>871500</v>
      </c>
      <c r="F22" s="11">
        <f t="shared" si="8"/>
        <v>1092280</v>
      </c>
      <c r="G22" s="11">
        <f t="shared" si="8"/>
        <v>1313890</v>
      </c>
      <c r="H22" s="11" t="e">
        <f t="shared" si="8"/>
        <v>#REF!</v>
      </c>
      <c r="I22" s="11" t="e">
        <f t="shared" si="8"/>
        <v>#REF!</v>
      </c>
      <c r="J22" s="11" t="e">
        <f t="shared" si="8"/>
        <v>#REF!</v>
      </c>
      <c r="K22" s="11" t="e">
        <f t="shared" si="8"/>
        <v>#REF!</v>
      </c>
      <c r="L22" s="11" t="e">
        <f t="shared" si="8"/>
        <v>#REF!</v>
      </c>
      <c r="M22" s="11" t="e">
        <f t="shared" si="8"/>
        <v>#REF!</v>
      </c>
      <c r="N22" s="5"/>
      <c r="O22" s="41"/>
      <c r="P22" s="22"/>
      <c r="Q22" s="5"/>
      <c r="R22" s="5"/>
      <c r="S22" s="5"/>
    </row>
    <row r="23" spans="1:19" ht="15" x14ac:dyDescent="0.25">
      <c r="A23" s="10" t="s">
        <v>46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 t="e">
        <f t="shared" ref="H23:M23" si="9">H22/12</f>
        <v>#REF!</v>
      </c>
      <c r="I23" s="11" t="e">
        <f t="shared" si="9"/>
        <v>#REF!</v>
      </c>
      <c r="J23" s="11" t="e">
        <f t="shared" si="9"/>
        <v>#REF!</v>
      </c>
      <c r="K23" s="11" t="e">
        <f t="shared" si="9"/>
        <v>#REF!</v>
      </c>
      <c r="L23" s="11" t="e">
        <f t="shared" si="9"/>
        <v>#REF!</v>
      </c>
      <c r="M23" s="11" t="e">
        <f t="shared" si="9"/>
        <v>#REF!</v>
      </c>
      <c r="N23" s="5"/>
      <c r="O23" s="15"/>
      <c r="P23" s="22"/>
      <c r="Q23" s="5"/>
      <c r="R23" s="5"/>
      <c r="S23" s="5"/>
    </row>
    <row r="24" spans="1:19" ht="15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5"/>
      <c r="O24" s="15"/>
      <c r="P24" s="22"/>
      <c r="Q24" s="5"/>
      <c r="R24" s="5"/>
      <c r="S24" s="5"/>
    </row>
    <row r="25" spans="1:19" x14ac:dyDescent="0.3">
      <c r="A25" s="18" t="s">
        <v>24</v>
      </c>
      <c r="B25" s="19">
        <f>SUM(B22:B24)</f>
        <v>218290</v>
      </c>
      <c r="C25" s="19">
        <f t="shared" ref="C25:G25" si="10">SUM(C22:C24)</f>
        <v>437410</v>
      </c>
      <c r="D25" s="19">
        <f t="shared" si="10"/>
        <v>653210</v>
      </c>
      <c r="E25" s="19">
        <f t="shared" si="10"/>
        <v>871500</v>
      </c>
      <c r="F25" s="19">
        <f t="shared" si="10"/>
        <v>1092280</v>
      </c>
      <c r="G25" s="19">
        <f t="shared" si="10"/>
        <v>1313890</v>
      </c>
      <c r="H25" s="19" t="e">
        <f t="shared" ref="H25:M25" si="11">SUM(H22:H24)</f>
        <v>#REF!</v>
      </c>
      <c r="I25" s="19" t="e">
        <f t="shared" si="11"/>
        <v>#REF!</v>
      </c>
      <c r="J25" s="19" t="e">
        <f t="shared" si="11"/>
        <v>#REF!</v>
      </c>
      <c r="K25" s="19" t="e">
        <f t="shared" si="11"/>
        <v>#REF!</v>
      </c>
      <c r="L25" s="19" t="e">
        <f t="shared" si="11"/>
        <v>#REF!</v>
      </c>
      <c r="M25" s="19" t="e">
        <f t="shared" si="11"/>
        <v>#REF!</v>
      </c>
      <c r="N25" s="25"/>
      <c r="O25" s="5"/>
      <c r="P25" s="5"/>
      <c r="Q25" s="5"/>
      <c r="R25" s="5"/>
      <c r="S25" s="5"/>
    </row>
    <row r="26" spans="1:19" s="27" customFormat="1" ht="15" hidden="1" x14ac:dyDescent="0.25">
      <c r="A26" s="20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5"/>
      <c r="O26" s="26"/>
      <c r="P26" s="26"/>
      <c r="Q26" s="26"/>
      <c r="R26" s="26"/>
      <c r="S26" s="26"/>
    </row>
    <row r="27" spans="1:19" s="27" customFormat="1" ht="15" hidden="1" x14ac:dyDescent="0.25">
      <c r="A27" s="20" t="s">
        <v>26</v>
      </c>
      <c r="B27" s="31"/>
      <c r="C27" s="31"/>
      <c r="D27" s="31"/>
      <c r="E27" s="31"/>
      <c r="F27" s="31"/>
      <c r="G27" s="31"/>
      <c r="H27" s="21"/>
      <c r="I27" s="21"/>
      <c r="J27" s="21"/>
      <c r="K27" s="21"/>
      <c r="L27" s="21"/>
      <c r="M27" s="21"/>
      <c r="N27" s="25"/>
      <c r="O27" s="26"/>
      <c r="P27" s="26"/>
      <c r="Q27" s="26"/>
      <c r="R27" s="26"/>
      <c r="S27" s="26"/>
    </row>
    <row r="28" spans="1:19" s="27" customFormat="1" ht="15" hidden="1" x14ac:dyDescent="0.25">
      <c r="A28" s="20" t="s">
        <v>27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5"/>
      <c r="O28" s="26"/>
      <c r="P28" s="26"/>
      <c r="Q28" s="26"/>
      <c r="R28" s="26"/>
      <c r="S28" s="26"/>
    </row>
    <row r="29" spans="1:19" ht="15" hidden="1" x14ac:dyDescent="0.25">
      <c r="A29" s="20" t="s">
        <v>28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5"/>
      <c r="O29" s="5"/>
      <c r="P29" s="5"/>
      <c r="Q29" s="5"/>
      <c r="R29" s="5"/>
      <c r="S29" s="5"/>
    </row>
    <row r="30" spans="1:19" ht="15" hidden="1" x14ac:dyDescent="0.25">
      <c r="A30" s="20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5"/>
      <c r="O30" s="5"/>
      <c r="P30" s="5"/>
      <c r="Q30" s="5"/>
      <c r="R30" s="5"/>
      <c r="S30" s="5"/>
    </row>
    <row r="31" spans="1:19" ht="15" hidden="1" x14ac:dyDescent="0.25">
      <c r="A31" s="28" t="s">
        <v>30</v>
      </c>
      <c r="B31" s="29">
        <f>SUM(B26:B30)</f>
        <v>0</v>
      </c>
      <c r="C31" s="29">
        <f t="shared" ref="C31:M31" si="12">SUM(C26:C30)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5"/>
      <c r="O31" s="5"/>
      <c r="P31" s="5"/>
      <c r="Q31" s="5"/>
      <c r="R31" s="5"/>
      <c r="S31" s="5"/>
    </row>
    <row r="32" spans="1:19" ht="15" hidden="1" x14ac:dyDescent="0.25">
      <c r="A32" s="39" t="s">
        <v>31</v>
      </c>
      <c r="B32" s="19">
        <f>B25-B31</f>
        <v>218290</v>
      </c>
      <c r="C32" s="19">
        <f t="shared" ref="C32:M32" si="13">C25-C31</f>
        <v>437410</v>
      </c>
      <c r="D32" s="19">
        <f t="shared" si="13"/>
        <v>653210</v>
      </c>
      <c r="E32" s="19">
        <f t="shared" si="13"/>
        <v>871500</v>
      </c>
      <c r="F32" s="19">
        <f t="shared" si="13"/>
        <v>1092280</v>
      </c>
      <c r="G32" s="19">
        <f t="shared" si="13"/>
        <v>1313890</v>
      </c>
      <c r="H32" s="19" t="e">
        <f t="shared" si="13"/>
        <v>#REF!</v>
      </c>
      <c r="I32" s="19" t="e">
        <f t="shared" si="13"/>
        <v>#REF!</v>
      </c>
      <c r="J32" s="19" t="e">
        <f t="shared" si="13"/>
        <v>#REF!</v>
      </c>
      <c r="K32" s="19" t="e">
        <f t="shared" si="13"/>
        <v>#REF!</v>
      </c>
      <c r="L32" s="19" t="e">
        <f t="shared" si="13"/>
        <v>#REF!</v>
      </c>
      <c r="M32" s="19" t="e">
        <f t="shared" si="13"/>
        <v>#REF!</v>
      </c>
      <c r="N32" s="25"/>
      <c r="O32" s="5"/>
      <c r="P32" s="5"/>
      <c r="Q32" s="5"/>
      <c r="R32" s="5"/>
      <c r="S32" s="5"/>
    </row>
    <row r="33" spans="1:19" ht="15" hidden="1" x14ac:dyDescent="0.25">
      <c r="A33" s="20" t="s">
        <v>32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25"/>
      <c r="O33" s="5"/>
      <c r="P33" s="5"/>
      <c r="Q33" s="5"/>
      <c r="R33" s="5"/>
      <c r="S33" s="5"/>
    </row>
    <row r="34" spans="1:19" ht="15" hidden="1" x14ac:dyDescent="0.25">
      <c r="A34" s="30" t="s">
        <v>33</v>
      </c>
      <c r="B34" s="40">
        <f>IF(B33&gt;(B32*0.05),(B32*0.05),B33)</f>
        <v>0</v>
      </c>
      <c r="C34" s="40">
        <f t="shared" ref="C34:M34" si="14">IF(C33&gt;(C32*0.05),(C32*0.05),C33)</f>
        <v>0</v>
      </c>
      <c r="D34" s="40">
        <f t="shared" si="14"/>
        <v>0</v>
      </c>
      <c r="E34" s="40">
        <f t="shared" si="14"/>
        <v>0</v>
      </c>
      <c r="F34" s="40">
        <f t="shared" si="14"/>
        <v>0</v>
      </c>
      <c r="G34" s="40">
        <f t="shared" si="14"/>
        <v>0</v>
      </c>
      <c r="H34" s="40" t="e">
        <f t="shared" si="14"/>
        <v>#REF!</v>
      </c>
      <c r="I34" s="40" t="e">
        <f t="shared" si="14"/>
        <v>#REF!</v>
      </c>
      <c r="J34" s="40" t="e">
        <f t="shared" si="14"/>
        <v>#REF!</v>
      </c>
      <c r="K34" s="40" t="e">
        <f t="shared" si="14"/>
        <v>#REF!</v>
      </c>
      <c r="L34" s="40" t="e">
        <f t="shared" si="14"/>
        <v>#REF!</v>
      </c>
      <c r="M34" s="40" t="e">
        <f t="shared" si="14"/>
        <v>#REF!</v>
      </c>
      <c r="N34" s="25"/>
      <c r="O34" s="5"/>
      <c r="P34" s="5"/>
      <c r="Q34" s="5"/>
      <c r="R34" s="5"/>
      <c r="S34" s="5"/>
    </row>
    <row r="35" spans="1:19" ht="15" hidden="1" x14ac:dyDescent="0.25">
      <c r="A35" s="2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5"/>
      <c r="O35" s="5"/>
      <c r="P35" s="5"/>
      <c r="Q35" s="5"/>
      <c r="R35" s="5"/>
      <c r="S35" s="5"/>
    </row>
    <row r="36" spans="1:19" ht="15" hidden="1" x14ac:dyDescent="0.25">
      <c r="A36" s="30" t="s">
        <v>35</v>
      </c>
      <c r="B36" s="40">
        <f>IF(B35&gt;(B32*0.05),(B32*0.05),B35)</f>
        <v>0</v>
      </c>
      <c r="C36" s="40">
        <f t="shared" ref="C36:M36" si="15">IF(C35&gt;(C32*0.05),(C32*0.05),C35)</f>
        <v>0</v>
      </c>
      <c r="D36" s="40">
        <f t="shared" si="15"/>
        <v>0</v>
      </c>
      <c r="E36" s="40">
        <f t="shared" si="15"/>
        <v>0</v>
      </c>
      <c r="F36" s="40">
        <f t="shared" si="15"/>
        <v>0</v>
      </c>
      <c r="G36" s="40">
        <f t="shared" si="15"/>
        <v>0</v>
      </c>
      <c r="H36" s="40" t="e">
        <f t="shared" si="15"/>
        <v>#REF!</v>
      </c>
      <c r="I36" s="40" t="e">
        <f t="shared" si="15"/>
        <v>#REF!</v>
      </c>
      <c r="J36" s="40" t="e">
        <f t="shared" si="15"/>
        <v>#REF!</v>
      </c>
      <c r="K36" s="40" t="e">
        <f t="shared" si="15"/>
        <v>#REF!</v>
      </c>
      <c r="L36" s="40" t="e">
        <f t="shared" si="15"/>
        <v>#REF!</v>
      </c>
      <c r="M36" s="40" t="e">
        <f t="shared" si="15"/>
        <v>#REF!</v>
      </c>
      <c r="N36" s="25"/>
      <c r="O36" s="5"/>
      <c r="P36" s="5"/>
      <c r="Q36" s="5"/>
      <c r="R36" s="5"/>
      <c r="S36" s="5"/>
    </row>
    <row r="37" spans="1:19" ht="15" hidden="1" x14ac:dyDescent="0.25">
      <c r="A37" s="20" t="s">
        <v>36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5"/>
      <c r="O37" s="5"/>
      <c r="P37" s="5"/>
      <c r="Q37" s="5"/>
      <c r="R37" s="5"/>
      <c r="S37" s="5"/>
    </row>
    <row r="38" spans="1:19" ht="15" hidden="1" x14ac:dyDescent="0.25">
      <c r="A38" s="30" t="s">
        <v>37</v>
      </c>
      <c r="B38" s="40">
        <f>IF(B37&gt;(B32*0.05),(B32*0.05),B37)</f>
        <v>0</v>
      </c>
      <c r="C38" s="40">
        <f t="shared" ref="C38:M38" si="16">IF(C37&gt;(C32*0.05),(C32*0.05),C37)</f>
        <v>0</v>
      </c>
      <c r="D38" s="40">
        <f t="shared" si="16"/>
        <v>0</v>
      </c>
      <c r="E38" s="40">
        <f t="shared" si="16"/>
        <v>0</v>
      </c>
      <c r="F38" s="40">
        <f t="shared" si="16"/>
        <v>0</v>
      </c>
      <c r="G38" s="40">
        <f t="shared" si="16"/>
        <v>0</v>
      </c>
      <c r="H38" s="40" t="e">
        <f t="shared" si="16"/>
        <v>#REF!</v>
      </c>
      <c r="I38" s="40" t="e">
        <f t="shared" si="16"/>
        <v>#REF!</v>
      </c>
      <c r="J38" s="40" t="e">
        <f t="shared" si="16"/>
        <v>#REF!</v>
      </c>
      <c r="K38" s="40" t="e">
        <f t="shared" si="16"/>
        <v>#REF!</v>
      </c>
      <c r="L38" s="40" t="e">
        <f t="shared" si="16"/>
        <v>#REF!</v>
      </c>
      <c r="M38" s="40" t="e">
        <f t="shared" si="16"/>
        <v>#REF!</v>
      </c>
      <c r="N38" s="25"/>
      <c r="O38" s="5"/>
      <c r="P38" s="5"/>
      <c r="Q38" s="5"/>
      <c r="R38" s="5"/>
      <c r="S38" s="5"/>
    </row>
    <row r="39" spans="1:19" ht="15" hidden="1" x14ac:dyDescent="0.25">
      <c r="A39" s="18" t="s">
        <v>38</v>
      </c>
      <c r="B39" s="19">
        <f>B31+B34+B36+B38</f>
        <v>0</v>
      </c>
      <c r="C39" s="19">
        <f t="shared" ref="C39:M39" si="17">C31+C34+C36+C38</f>
        <v>0</v>
      </c>
      <c r="D39" s="19">
        <f t="shared" si="17"/>
        <v>0</v>
      </c>
      <c r="E39" s="19">
        <f t="shared" si="17"/>
        <v>0</v>
      </c>
      <c r="F39" s="19">
        <f>F31+F34+F36+F38</f>
        <v>0</v>
      </c>
      <c r="G39" s="19">
        <f>G31+G34+G36+G38</f>
        <v>0</v>
      </c>
      <c r="H39" s="19" t="e">
        <f t="shared" si="17"/>
        <v>#REF!</v>
      </c>
      <c r="I39" s="19" t="e">
        <f t="shared" si="17"/>
        <v>#REF!</v>
      </c>
      <c r="J39" s="19" t="e">
        <f t="shared" si="17"/>
        <v>#REF!</v>
      </c>
      <c r="K39" s="19" t="e">
        <f t="shared" si="17"/>
        <v>#REF!</v>
      </c>
      <c r="L39" s="19" t="e">
        <f t="shared" si="17"/>
        <v>#REF!</v>
      </c>
      <c r="M39" s="19" t="e">
        <f t="shared" si="17"/>
        <v>#REF!</v>
      </c>
      <c r="N39" s="25"/>
      <c r="O39" s="5"/>
      <c r="P39" s="5"/>
      <c r="Q39" s="5"/>
      <c r="R39" s="5"/>
      <c r="S39" s="5"/>
    </row>
    <row r="40" spans="1:19" x14ac:dyDescent="0.3">
      <c r="A40" s="10" t="s">
        <v>39</v>
      </c>
      <c r="B40" s="37">
        <v>21047.07</v>
      </c>
      <c r="C40" s="38">
        <v>42094.14</v>
      </c>
      <c r="D40" s="37">
        <v>63141.21</v>
      </c>
      <c r="E40" s="37">
        <v>84188.28</v>
      </c>
      <c r="F40" s="37">
        <v>105235.35</v>
      </c>
      <c r="G40" s="37">
        <v>126282.42</v>
      </c>
      <c r="H40" s="37">
        <v>97812.4</v>
      </c>
      <c r="I40" s="37">
        <v>111785.60000000001</v>
      </c>
      <c r="J40" s="37">
        <v>125758.8</v>
      </c>
      <c r="K40" s="37">
        <v>139732</v>
      </c>
      <c r="L40" s="37">
        <v>143293.91</v>
      </c>
      <c r="M40" s="37">
        <v>167678.39999999999</v>
      </c>
      <c r="N40" s="5"/>
      <c r="O40" s="5"/>
      <c r="P40" s="5"/>
      <c r="Q40" s="5"/>
      <c r="R40" s="5"/>
      <c r="S40" s="5"/>
    </row>
    <row r="41" spans="1:19" ht="15" hidden="1" x14ac:dyDescent="0.25">
      <c r="A41" s="10" t="s">
        <v>40</v>
      </c>
      <c r="B41" s="37"/>
      <c r="C41" s="37"/>
      <c r="D41" s="37"/>
      <c r="E41" s="37"/>
      <c r="F41" s="37"/>
      <c r="G41" s="37"/>
      <c r="H41" s="37">
        <v>91187.04</v>
      </c>
      <c r="I41" s="37">
        <v>104213.75999999999</v>
      </c>
      <c r="J41" s="37">
        <v>117240.48</v>
      </c>
      <c r="K41" s="37">
        <v>130267.2</v>
      </c>
      <c r="L41" s="37">
        <v>153705.20000000001</v>
      </c>
      <c r="M41" s="37">
        <v>156320.63</v>
      </c>
      <c r="N41" s="5"/>
      <c r="O41" s="5"/>
      <c r="P41" s="5"/>
      <c r="Q41" s="5"/>
      <c r="R41" s="5"/>
      <c r="S41" s="5"/>
    </row>
    <row r="42" spans="1:19" x14ac:dyDescent="0.3">
      <c r="A42" s="10" t="s">
        <v>41</v>
      </c>
      <c r="B42" s="37">
        <v>9895.16</v>
      </c>
      <c r="C42" s="37">
        <v>19790.330000000002</v>
      </c>
      <c r="D42" s="37">
        <v>29685.49</v>
      </c>
      <c r="E42" s="37">
        <v>39580.660000000003</v>
      </c>
      <c r="F42" s="37">
        <v>49475.82</v>
      </c>
      <c r="G42" s="37">
        <v>59370.99</v>
      </c>
      <c r="H42" s="37">
        <v>45985.96</v>
      </c>
      <c r="I42" s="37">
        <v>52555.39</v>
      </c>
      <c r="J42" s="37">
        <v>59124.81</v>
      </c>
      <c r="K42" s="37">
        <v>65694.240000000005</v>
      </c>
      <c r="L42" s="37">
        <v>72263.66</v>
      </c>
      <c r="M42" s="37">
        <v>78833.08</v>
      </c>
      <c r="N42" s="5"/>
      <c r="O42" s="5"/>
      <c r="P42" s="5"/>
      <c r="Q42" s="5"/>
      <c r="R42" s="5"/>
      <c r="S42" s="5"/>
    </row>
    <row r="43" spans="1:19" ht="15" hidden="1" x14ac:dyDescent="0.25">
      <c r="A43" s="10" t="s">
        <v>41</v>
      </c>
      <c r="B43" s="37"/>
      <c r="C43" s="37"/>
      <c r="D43" s="37"/>
      <c r="E43" s="37"/>
      <c r="F43" s="37"/>
      <c r="G43" s="37"/>
      <c r="H43" s="37">
        <v>45985.96</v>
      </c>
      <c r="I43" s="37">
        <v>52555.39</v>
      </c>
      <c r="J43" s="37">
        <v>59124.81</v>
      </c>
      <c r="K43" s="37">
        <v>65694.240000000005</v>
      </c>
      <c r="L43" s="37">
        <v>72263.66</v>
      </c>
      <c r="M43" s="37">
        <v>78833.08</v>
      </c>
      <c r="N43" s="5"/>
      <c r="O43" s="5"/>
      <c r="P43" s="5"/>
      <c r="Q43" s="5"/>
      <c r="R43" s="5"/>
      <c r="S43" s="5"/>
    </row>
    <row r="44" spans="1:19" x14ac:dyDescent="0.3">
      <c r="A44" s="10" t="s">
        <v>42</v>
      </c>
      <c r="B44" s="37">
        <v>101025.94</v>
      </c>
      <c r="C44" s="37">
        <v>202051.87</v>
      </c>
      <c r="D44" s="37">
        <v>303077.81</v>
      </c>
      <c r="E44" s="37">
        <v>404103.75</v>
      </c>
      <c r="F44" s="37">
        <v>505129.68</v>
      </c>
      <c r="G44" s="37">
        <v>606155.62</v>
      </c>
      <c r="H44" s="37">
        <v>469499.53</v>
      </c>
      <c r="I44" s="37">
        <v>536570.89</v>
      </c>
      <c r="J44" s="37">
        <v>603642.26</v>
      </c>
      <c r="K44" s="37">
        <v>670713.62</v>
      </c>
      <c r="L44" s="37">
        <v>737784.98</v>
      </c>
      <c r="M44" s="37">
        <v>804856.34</v>
      </c>
      <c r="N44" s="5"/>
      <c r="O44" s="5"/>
      <c r="P44" s="5"/>
      <c r="Q44" s="5"/>
      <c r="R44" s="5"/>
      <c r="S44" s="5"/>
    </row>
    <row r="45" spans="1:19" x14ac:dyDescent="0.3">
      <c r="A45" s="10" t="s">
        <v>48</v>
      </c>
      <c r="B45" s="52"/>
      <c r="C45" s="52"/>
      <c r="D45" s="52"/>
      <c r="E45" s="52"/>
      <c r="F45" s="52"/>
      <c r="G45" s="52">
        <v>522010.97</v>
      </c>
      <c r="H45" s="37"/>
      <c r="I45" s="37"/>
      <c r="J45" s="37"/>
      <c r="K45" s="37"/>
      <c r="L45" s="37"/>
      <c r="M45" s="37"/>
      <c r="N45" s="5"/>
      <c r="O45" s="5"/>
      <c r="P45" s="5"/>
      <c r="Q45" s="5"/>
      <c r="R45" s="5"/>
      <c r="S45" s="5"/>
    </row>
    <row r="46" spans="1:19" x14ac:dyDescent="0.3">
      <c r="A46" s="10" t="s">
        <v>53</v>
      </c>
      <c r="B46" s="52"/>
      <c r="C46" s="52"/>
      <c r="D46" s="52"/>
      <c r="E46" s="52"/>
      <c r="F46" s="52"/>
      <c r="G46" s="52">
        <v>522010.97</v>
      </c>
      <c r="H46" s="37"/>
      <c r="I46" s="37"/>
      <c r="J46" s="37"/>
      <c r="K46" s="37"/>
      <c r="L46" s="37"/>
      <c r="M46" s="37"/>
      <c r="N46" s="5"/>
      <c r="O46" s="5"/>
      <c r="P46" s="5"/>
      <c r="Q46" s="5"/>
      <c r="R46" s="5"/>
      <c r="S46" s="5"/>
    </row>
    <row r="47" spans="1:19" x14ac:dyDescent="0.3">
      <c r="A47" s="10" t="s">
        <v>49</v>
      </c>
      <c r="B47" s="53"/>
      <c r="C47" s="53"/>
      <c r="D47" s="53"/>
      <c r="E47" s="53"/>
      <c r="F47" s="53"/>
      <c r="G47" s="53"/>
      <c r="H47" s="11"/>
      <c r="I47" s="11"/>
      <c r="J47" s="11"/>
      <c r="K47" s="11"/>
      <c r="L47" s="11"/>
      <c r="M47" s="11"/>
      <c r="N47" s="5"/>
      <c r="P47" s="5"/>
      <c r="Q47" s="5"/>
      <c r="R47" s="5"/>
      <c r="S47" s="5"/>
    </row>
    <row r="48" spans="1:19" x14ac:dyDescent="0.3">
      <c r="A48" s="10" t="s">
        <v>54</v>
      </c>
      <c r="B48" s="11">
        <f>B47</f>
        <v>0</v>
      </c>
      <c r="C48" s="11">
        <f>B47+C47</f>
        <v>0</v>
      </c>
      <c r="D48" s="11">
        <f>B47+C47+D47</f>
        <v>0</v>
      </c>
      <c r="E48" s="11">
        <f>B47+C47+D47+E47</f>
        <v>0</v>
      </c>
      <c r="F48" s="11">
        <f>B47+C47+D47+E47+F47</f>
        <v>0</v>
      </c>
      <c r="G48" s="11">
        <f>F48</f>
        <v>0</v>
      </c>
      <c r="H48" s="11"/>
      <c r="I48" s="11"/>
      <c r="J48" s="11"/>
      <c r="K48" s="11"/>
      <c r="L48" s="11"/>
      <c r="M48" s="11"/>
      <c r="N48" s="5"/>
      <c r="P48" s="5"/>
      <c r="Q48" s="5"/>
      <c r="R48" s="5"/>
      <c r="S48" s="5"/>
    </row>
    <row r="49" spans="1:19" x14ac:dyDescent="0.3">
      <c r="A49" s="18" t="s">
        <v>43</v>
      </c>
      <c r="B49" s="19">
        <f>B40+B42+B44+B46+B48</f>
        <v>131968.17000000001</v>
      </c>
      <c r="C49" s="19">
        <f t="shared" ref="C49:F49" si="18">C40+C42+C44+C46+C48</f>
        <v>263936.33999999997</v>
      </c>
      <c r="D49" s="19">
        <f t="shared" si="18"/>
        <v>395904.51</v>
      </c>
      <c r="E49" s="19">
        <f t="shared" si="18"/>
        <v>527872.68999999994</v>
      </c>
      <c r="F49" s="19">
        <f t="shared" si="18"/>
        <v>659840.85</v>
      </c>
      <c r="G49" s="19">
        <f>G40+G42+G44+G46+G48</f>
        <v>1313820</v>
      </c>
      <c r="H49" s="19">
        <f t="shared" ref="H49:M49" si="19">SUM(H40:H47)</f>
        <v>750470.89</v>
      </c>
      <c r="I49" s="19">
        <f t="shared" si="19"/>
        <v>857681.03</v>
      </c>
      <c r="J49" s="19">
        <f t="shared" si="19"/>
        <v>964891.15999999992</v>
      </c>
      <c r="K49" s="19">
        <f t="shared" si="19"/>
        <v>1072101.3</v>
      </c>
      <c r="L49" s="19">
        <f t="shared" si="19"/>
        <v>1179311.4100000001</v>
      </c>
      <c r="M49" s="19">
        <f t="shared" si="19"/>
        <v>1286521.53</v>
      </c>
      <c r="N49" s="5"/>
      <c r="O49" s="5"/>
      <c r="P49" s="5"/>
      <c r="Q49" s="5"/>
      <c r="R49" s="5"/>
      <c r="S49" s="5"/>
    </row>
    <row r="50" spans="1:19" x14ac:dyDescent="0.3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3">
      <c r="A51" s="32" t="s">
        <v>44</v>
      </c>
      <c r="B51" s="33">
        <f>B25-B39-B49</f>
        <v>86321.829999999987</v>
      </c>
      <c r="C51" s="33">
        <f>C25-C49-C39</f>
        <v>173473.66000000003</v>
      </c>
      <c r="D51" s="33">
        <f t="shared" ref="D51:M51" si="20">D25-D49-D39</f>
        <v>257305.49</v>
      </c>
      <c r="E51" s="33">
        <f t="shared" si="20"/>
        <v>343627.31000000006</v>
      </c>
      <c r="F51" s="33">
        <f>F25-F49-F39</f>
        <v>432439.15</v>
      </c>
      <c r="G51" s="33">
        <f t="shared" si="20"/>
        <v>70</v>
      </c>
      <c r="H51" s="33" t="e">
        <f t="shared" si="20"/>
        <v>#REF!</v>
      </c>
      <c r="I51" s="33" t="e">
        <f t="shared" si="20"/>
        <v>#REF!</v>
      </c>
      <c r="J51" s="33" t="e">
        <f t="shared" si="20"/>
        <v>#REF!</v>
      </c>
      <c r="K51" s="33" t="e">
        <f t="shared" si="20"/>
        <v>#REF!</v>
      </c>
      <c r="L51" s="33" t="e">
        <f t="shared" si="20"/>
        <v>#REF!</v>
      </c>
      <c r="M51" s="33" t="e">
        <f t="shared" si="20"/>
        <v>#REF!</v>
      </c>
      <c r="N51" s="5"/>
      <c r="O51" s="5"/>
      <c r="P51" s="5"/>
      <c r="Q51" s="5"/>
      <c r="R51" s="5"/>
      <c r="S51" s="5"/>
    </row>
    <row r="52" spans="1:19" x14ac:dyDescent="0.3">
      <c r="A52" s="3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5"/>
      <c r="O52" s="5"/>
      <c r="P52" s="5"/>
      <c r="Q52" s="5"/>
      <c r="R52" s="5"/>
      <c r="S52" s="5"/>
    </row>
    <row r="53" spans="1:19" x14ac:dyDescent="0.3">
      <c r="A53" s="35" t="s">
        <v>45</v>
      </c>
      <c r="B53" s="1">
        <f>10125.219+(0.27*(B51-64801.33))</f>
        <v>15935.753999999995</v>
      </c>
      <c r="C53" s="1">
        <f>20250.42+(0.27*(C51-129602.67))</f>
        <v>32095.587300000007</v>
      </c>
      <c r="D53" s="1">
        <f>30375.63+(0.27*(D51-194404))</f>
        <v>47359.032299999999</v>
      </c>
      <c r="E53" s="1">
        <f>40500.83+(0.27*(E51-259205.34))</f>
        <v>63294.76190000002</v>
      </c>
      <c r="F53" s="1">
        <f>50626.04+(0.31*(F51-324006.67))</f>
        <v>84240.108800000016</v>
      </c>
      <c r="G53" s="1">
        <v>0</v>
      </c>
      <c r="H53" s="1" t="e">
        <f>#REF!</f>
        <v>#REF!</v>
      </c>
      <c r="I53" s="1" t="e">
        <f>#REF!</f>
        <v>#REF!</v>
      </c>
      <c r="J53" s="1" t="e">
        <f>#REF!</f>
        <v>#REF!</v>
      </c>
      <c r="K53" s="1" t="e">
        <f>#REF!</f>
        <v>#REF!</v>
      </c>
      <c r="L53" s="1" t="e">
        <f>#REF!</f>
        <v>#REF!</v>
      </c>
      <c r="M53" s="1" t="e">
        <f>#REF!</f>
        <v>#REF!</v>
      </c>
      <c r="N53" s="5"/>
      <c r="O53" s="5"/>
      <c r="P53" s="5"/>
      <c r="Q53" s="5"/>
      <c r="R53" s="5"/>
      <c r="S53" s="5"/>
    </row>
    <row r="54" spans="1:19" x14ac:dyDescent="0.3">
      <c r="B54" s="36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3">
      <c r="A55" s="35" t="s">
        <v>55</v>
      </c>
      <c r="B55" s="1">
        <f>B53</f>
        <v>15935.753999999995</v>
      </c>
      <c r="C55" s="1">
        <f>C53-B55</f>
        <v>16159.833300000011</v>
      </c>
      <c r="D55" s="1">
        <f>D53-C55-B55</f>
        <v>15263.444999999991</v>
      </c>
      <c r="E55" s="1">
        <f>E53-D55-C55-B55</f>
        <v>15935.729600000019</v>
      </c>
      <c r="F55" s="1">
        <f>F53-E55-D55-C55-B55</f>
        <v>20945.346899999997</v>
      </c>
      <c r="G55" s="1"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3">
      <c r="C57" s="5"/>
    </row>
    <row r="58" spans="1:19" x14ac:dyDescent="0.3">
      <c r="A58" s="55"/>
      <c r="B58" s="56"/>
      <c r="C58" s="27"/>
    </row>
    <row r="59" spans="1:19" x14ac:dyDescent="0.3">
      <c r="A59" s="55"/>
      <c r="B59" s="56"/>
      <c r="C59" s="27"/>
    </row>
    <row r="60" spans="1:19" x14ac:dyDescent="0.3">
      <c r="A60" s="57"/>
      <c r="B60" s="46"/>
      <c r="C60" s="27"/>
    </row>
    <row r="61" spans="1:19" x14ac:dyDescent="0.3">
      <c r="A61" s="27"/>
      <c r="B61" s="27"/>
      <c r="C61" s="27"/>
    </row>
    <row r="62" spans="1:19" x14ac:dyDescent="0.3">
      <c r="A62" s="27"/>
      <c r="B62" s="27"/>
      <c r="C62" s="27"/>
    </row>
  </sheetData>
  <dataValidations count="2">
    <dataValidation type="whole" operator="equal" allowBlank="1" showInputMessage="1" showErrorMessage="1" error="Tope 5%, No Modificar" sqref="B38:M38">
      <formula1>1234</formula1>
    </dataValidation>
    <dataValidation type="whole" operator="equal" allowBlank="1" showInputMessage="1" showErrorMessage="1" error="Tope 5% No Modificar_x000a_" sqref="B36:M36 B34:M34">
      <formula1>1234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Caso 1</vt:lpstr>
      <vt:lpstr>Caso 1 DEV SAC</vt:lpstr>
      <vt:lpstr>Caso 2 </vt:lpstr>
      <vt:lpstr>Caso 2 DEV SAC</vt:lpstr>
      <vt:lpstr>Caso 3</vt:lpstr>
      <vt:lpstr>Caso 3 DEV SAC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Ana Karina Januszewski</cp:lastModifiedBy>
  <cp:revision/>
  <dcterms:created xsi:type="dcterms:W3CDTF">2021-06-15T23:45:15Z</dcterms:created>
  <dcterms:modified xsi:type="dcterms:W3CDTF">2022-06-23T14:11:13Z</dcterms:modified>
</cp:coreProperties>
</file>